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https://cvcmail-my.sharepoint.com/personal/gia_thiel_lightpathfiber_com/Documents/Documents/AGENCIES/01 Lorem Ipsum/Large School Districts/"/>
    </mc:Choice>
  </mc:AlternateContent>
  <xr:revisionPtr revIDLastSave="11" documentId="14_{B26C38FF-BA94-5F4D-9330-004FC5CAAE6F}" xr6:coauthVersionLast="47" xr6:coauthVersionMax="47" xr10:uidLastSave="{9ED6B8CD-F3CD-F246-A1A1-C61A69789377}"/>
  <bookViews>
    <workbookView xWindow="0" yWindow="600" windowWidth="27040" windowHeight="15720" xr2:uid="{00000000-000D-0000-FFFF-FFFF00000000}"/>
  </bookViews>
  <sheets>
    <sheet name="Overview" sheetId="1" r:id="rId1"/>
    <sheet name="Sizing Model" sheetId="2" r:id="rId2"/>
    <sheet name="Benchmarks" sheetId="3" r:id="rId3"/>
    <sheet name="Planning Outputs" sheetId="4" r:id="rId4"/>
    <sheet name="Referenc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3" l="1"/>
  <c r="H63" i="2"/>
  <c r="G63" i="2"/>
  <c r="E63" i="2"/>
  <c r="D63" i="2"/>
  <c r="K62" i="2"/>
  <c r="C7" i="4" s="1"/>
  <c r="J62" i="2"/>
  <c r="L62" i="2" s="1"/>
  <c r="I62" i="2"/>
  <c r="F62" i="2"/>
  <c r="N61" i="2"/>
  <c r="M61" i="2"/>
  <c r="L61" i="2"/>
  <c r="K61" i="2"/>
  <c r="J61" i="2"/>
  <c r="I61" i="2"/>
  <c r="F61" i="2"/>
  <c r="N60" i="2"/>
  <c r="M60" i="2"/>
  <c r="L60" i="2"/>
  <c r="K60" i="2"/>
  <c r="J60" i="2"/>
  <c r="I60" i="2"/>
  <c r="F60" i="2"/>
  <c r="N59" i="2"/>
  <c r="M59" i="2"/>
  <c r="L59" i="2"/>
  <c r="K59" i="2"/>
  <c r="J59" i="2"/>
  <c r="I59" i="2"/>
  <c r="F59" i="2"/>
  <c r="N58" i="2"/>
  <c r="M58" i="2"/>
  <c r="L58" i="2"/>
  <c r="K58" i="2"/>
  <c r="J58" i="2"/>
  <c r="I58" i="2"/>
  <c r="F58" i="2"/>
  <c r="N57" i="2"/>
  <c r="M57" i="2"/>
  <c r="L57" i="2"/>
  <c r="K57" i="2"/>
  <c r="J57" i="2"/>
  <c r="I57" i="2"/>
  <c r="F57" i="2"/>
  <c r="N56" i="2"/>
  <c r="M56" i="2"/>
  <c r="L56" i="2"/>
  <c r="K56" i="2"/>
  <c r="J56" i="2"/>
  <c r="I56" i="2"/>
  <c r="F56" i="2"/>
  <c r="N55" i="2"/>
  <c r="M55" i="2"/>
  <c r="L55" i="2"/>
  <c r="K55" i="2"/>
  <c r="J55" i="2"/>
  <c r="I55" i="2"/>
  <c r="F55" i="2"/>
  <c r="N54" i="2"/>
  <c r="M54" i="2"/>
  <c r="L54" i="2"/>
  <c r="K54" i="2"/>
  <c r="J54" i="2"/>
  <c r="I54" i="2"/>
  <c r="F54" i="2"/>
  <c r="N53" i="2"/>
  <c r="M53" i="2"/>
  <c r="L53" i="2"/>
  <c r="K53" i="2"/>
  <c r="J53" i="2"/>
  <c r="I53" i="2"/>
  <c r="F53" i="2"/>
  <c r="N52" i="2"/>
  <c r="M52" i="2"/>
  <c r="L52" i="2"/>
  <c r="K52" i="2"/>
  <c r="J52" i="2"/>
  <c r="I52" i="2"/>
  <c r="F52" i="2"/>
  <c r="N51" i="2"/>
  <c r="M51" i="2"/>
  <c r="L51" i="2"/>
  <c r="K51" i="2"/>
  <c r="J51" i="2"/>
  <c r="I51" i="2"/>
  <c r="F51" i="2"/>
  <c r="N50" i="2"/>
  <c r="M50" i="2"/>
  <c r="L50" i="2"/>
  <c r="K50" i="2"/>
  <c r="J50" i="2"/>
  <c r="I50" i="2"/>
  <c r="F50" i="2"/>
  <c r="N49" i="2"/>
  <c r="M49" i="2"/>
  <c r="L49" i="2"/>
  <c r="K49" i="2"/>
  <c r="J49" i="2"/>
  <c r="I49" i="2"/>
  <c r="F49" i="2"/>
  <c r="N48" i="2"/>
  <c r="M48" i="2"/>
  <c r="L48" i="2"/>
  <c r="K48" i="2"/>
  <c r="J48" i="2"/>
  <c r="I48" i="2"/>
  <c r="F48" i="2"/>
  <c r="N47" i="2"/>
  <c r="M47" i="2"/>
  <c r="L47" i="2"/>
  <c r="K47" i="2"/>
  <c r="J47" i="2"/>
  <c r="I47" i="2"/>
  <c r="F47" i="2"/>
  <c r="N46" i="2"/>
  <c r="M46" i="2"/>
  <c r="L46" i="2"/>
  <c r="K46" i="2"/>
  <c r="J46" i="2"/>
  <c r="I46" i="2"/>
  <c r="F46" i="2"/>
  <c r="N45" i="2"/>
  <c r="M45" i="2"/>
  <c r="L45" i="2"/>
  <c r="K45" i="2"/>
  <c r="J45" i="2"/>
  <c r="I45" i="2"/>
  <c r="F45" i="2"/>
  <c r="L44" i="2"/>
  <c r="K44" i="2"/>
  <c r="J44" i="2"/>
  <c r="L43" i="2"/>
  <c r="K43" i="2"/>
  <c r="J43" i="2"/>
  <c r="K42" i="2"/>
  <c r="J42" i="2"/>
  <c r="L42" i="2" s="1"/>
  <c r="I42" i="2"/>
  <c r="F42" i="2"/>
  <c r="M42" i="2" s="1"/>
  <c r="K41" i="2"/>
  <c r="J41" i="2"/>
  <c r="L41" i="2" s="1"/>
  <c r="I41" i="2"/>
  <c r="F41" i="2"/>
  <c r="M41" i="2" s="1"/>
  <c r="K40" i="2"/>
  <c r="J40" i="2"/>
  <c r="L40" i="2" s="1"/>
  <c r="I40" i="2"/>
  <c r="F40" i="2"/>
  <c r="M40" i="2" s="1"/>
  <c r="K39" i="2"/>
  <c r="J39" i="2"/>
  <c r="L39" i="2" s="1"/>
  <c r="I39" i="2"/>
  <c r="F39" i="2"/>
  <c r="M39" i="2" s="1"/>
  <c r="K38" i="2"/>
  <c r="J38" i="2"/>
  <c r="L38" i="2" s="1"/>
  <c r="I38" i="2"/>
  <c r="F38" i="2"/>
  <c r="M38" i="2" s="1"/>
  <c r="K37" i="2"/>
  <c r="J37" i="2"/>
  <c r="L37" i="2" s="1"/>
  <c r="I37" i="2"/>
  <c r="F37" i="2"/>
  <c r="M37" i="2" s="1"/>
  <c r="K36" i="2"/>
  <c r="J36" i="2"/>
  <c r="L36" i="2" s="1"/>
  <c r="I36" i="2"/>
  <c r="F36" i="2"/>
  <c r="M36" i="2" s="1"/>
  <c r="K35" i="2"/>
  <c r="J35" i="2"/>
  <c r="L35" i="2" s="1"/>
  <c r="I35" i="2"/>
  <c r="F35" i="2"/>
  <c r="M35" i="2" s="1"/>
  <c r="K34" i="2"/>
  <c r="J34" i="2"/>
  <c r="L34" i="2" s="1"/>
  <c r="I34" i="2"/>
  <c r="F34" i="2"/>
  <c r="M34" i="2" s="1"/>
  <c r="K33" i="2"/>
  <c r="J33" i="2"/>
  <c r="L33" i="2" s="1"/>
  <c r="I33" i="2"/>
  <c r="F33" i="2"/>
  <c r="M33" i="2" s="1"/>
  <c r="K32" i="2"/>
  <c r="J32" i="2"/>
  <c r="L32" i="2" s="1"/>
  <c r="I32" i="2"/>
  <c r="F32" i="2"/>
  <c r="M32" i="2" s="1"/>
  <c r="K31" i="2"/>
  <c r="J31" i="2"/>
  <c r="L31" i="2" s="1"/>
  <c r="I31" i="2"/>
  <c r="F31" i="2"/>
  <c r="M31" i="2" s="1"/>
  <c r="K30" i="2"/>
  <c r="J30" i="2"/>
  <c r="L30" i="2" s="1"/>
  <c r="I30" i="2"/>
  <c r="F30" i="2"/>
  <c r="M30" i="2" s="1"/>
  <c r="K29" i="2"/>
  <c r="J29" i="2"/>
  <c r="L29" i="2" s="1"/>
  <c r="I29" i="2"/>
  <c r="F29" i="2"/>
  <c r="M29" i="2" s="1"/>
  <c r="K28" i="2"/>
  <c r="J28" i="2"/>
  <c r="L28" i="2" s="1"/>
  <c r="I28" i="2"/>
  <c r="F28" i="2"/>
  <c r="M28" i="2" s="1"/>
  <c r="K27" i="2"/>
  <c r="J27" i="2"/>
  <c r="L27" i="2" s="1"/>
  <c r="I27" i="2"/>
  <c r="F27" i="2"/>
  <c r="M27" i="2" s="1"/>
  <c r="K26" i="2"/>
  <c r="J26" i="2"/>
  <c r="L26" i="2" s="1"/>
  <c r="I26" i="2"/>
  <c r="F26" i="2"/>
  <c r="M26" i="2" s="1"/>
  <c r="K25" i="2"/>
  <c r="J25" i="2"/>
  <c r="L25" i="2" s="1"/>
  <c r="I25" i="2"/>
  <c r="F25" i="2"/>
  <c r="M25" i="2" s="1"/>
  <c r="K24" i="2"/>
  <c r="J24" i="2"/>
  <c r="L24" i="2" s="1"/>
  <c r="I24" i="2"/>
  <c r="F24" i="2"/>
  <c r="M24" i="2" s="1"/>
  <c r="K23" i="2"/>
  <c r="J23" i="2"/>
  <c r="L23" i="2" s="1"/>
  <c r="I23" i="2"/>
  <c r="F23" i="2"/>
  <c r="M23" i="2" s="1"/>
  <c r="K22" i="2"/>
  <c r="J22" i="2"/>
  <c r="L22" i="2" s="1"/>
  <c r="I22" i="2"/>
  <c r="F22" i="2"/>
  <c r="M22" i="2" s="1"/>
  <c r="K21" i="2"/>
  <c r="J21" i="2"/>
  <c r="L21" i="2" s="1"/>
  <c r="I21" i="2"/>
  <c r="F21" i="2"/>
  <c r="M21" i="2" s="1"/>
  <c r="K20" i="2"/>
  <c r="J20" i="2"/>
  <c r="L20" i="2" s="1"/>
  <c r="I20" i="2"/>
  <c r="F20" i="2"/>
  <c r="M20" i="2" s="1"/>
  <c r="K19" i="2"/>
  <c r="J19" i="2"/>
  <c r="L19" i="2" s="1"/>
  <c r="I19" i="2"/>
  <c r="F19" i="2"/>
  <c r="M19" i="2" s="1"/>
  <c r="K18" i="2"/>
  <c r="J18" i="2"/>
  <c r="L18" i="2" s="1"/>
  <c r="I18" i="2"/>
  <c r="F18" i="2"/>
  <c r="M18" i="2" s="1"/>
  <c r="K17" i="2"/>
  <c r="J17" i="2"/>
  <c r="L17" i="2" s="1"/>
  <c r="I17" i="2"/>
  <c r="F17" i="2"/>
  <c r="M17" i="2" s="1"/>
  <c r="K16" i="2"/>
  <c r="J16" i="2"/>
  <c r="L16" i="2" s="1"/>
  <c r="I16" i="2"/>
  <c r="F16" i="2"/>
  <c r="M16" i="2" s="1"/>
  <c r="K15" i="2"/>
  <c r="J15" i="2"/>
  <c r="L15" i="2" s="1"/>
  <c r="I15" i="2"/>
  <c r="F15" i="2"/>
  <c r="K14" i="2"/>
  <c r="J14" i="2"/>
  <c r="I14" i="2"/>
  <c r="F14" i="2"/>
  <c r="M14" i="2" s="1"/>
  <c r="I63" i="2" l="1"/>
  <c r="N42" i="2"/>
  <c r="N16" i="2"/>
  <c r="N27" i="2"/>
  <c r="N36" i="2"/>
  <c r="C17" i="4"/>
  <c r="C18" i="4"/>
  <c r="N34" i="2"/>
  <c r="F63" i="2"/>
  <c r="M63" i="2" s="1"/>
  <c r="N26" i="2"/>
  <c r="N32" i="2"/>
  <c r="N38" i="2"/>
  <c r="N35" i="2"/>
  <c r="N20" i="2"/>
  <c r="N17" i="2"/>
  <c r="N25" i="2"/>
  <c r="N28" i="2"/>
  <c r="N18" i="2"/>
  <c r="N24" i="2"/>
  <c r="N22" i="2"/>
  <c r="N40" i="2"/>
  <c r="N30" i="2"/>
  <c r="K63" i="2"/>
  <c r="C14" i="4"/>
  <c r="C8" i="4"/>
  <c r="J63" i="2"/>
  <c r="C16" i="4"/>
  <c r="L14" i="2"/>
  <c r="D16" i="4" s="1"/>
  <c r="N21" i="2"/>
  <c r="N39" i="2"/>
  <c r="N29" i="2"/>
  <c r="C10" i="3"/>
  <c r="D7" i="4"/>
  <c r="N33" i="2"/>
  <c r="N23" i="2"/>
  <c r="N41" i="2"/>
  <c r="N31" i="2"/>
  <c r="N19" i="2"/>
  <c r="N37" i="2"/>
  <c r="D18" i="4"/>
  <c r="C12" i="4"/>
  <c r="C19" i="4"/>
  <c r="C8" i="3"/>
  <c r="C9" i="3"/>
  <c r="C13" i="4"/>
  <c r="C20" i="4"/>
  <c r="C17" i="3"/>
  <c r="C15" i="4"/>
  <c r="M15" i="2"/>
  <c r="N15" i="2" s="1"/>
  <c r="C21" i="4"/>
  <c r="C13" i="3" l="1"/>
  <c r="D12" i="4"/>
  <c r="C14" i="3"/>
  <c r="N14" i="2"/>
  <c r="N63" i="2" s="1"/>
  <c r="D15" i="4"/>
  <c r="C18" i="3"/>
  <c r="D14" i="4"/>
  <c r="D13" i="4"/>
  <c r="D21" i="4"/>
  <c r="D19" i="4"/>
  <c r="D20" i="4"/>
  <c r="D17" i="4"/>
  <c r="D8" i="4"/>
  <c r="L63" i="2"/>
  <c r="C19" i="3"/>
  <c r="E8" i="4"/>
</calcChain>
</file>

<file path=xl/sharedStrings.xml><?xml version="1.0" encoding="utf-8"?>
<sst xmlns="http://schemas.openxmlformats.org/spreadsheetml/2006/main" count="184" uniqueCount="157">
  <si>
    <t>District Capacity Planning Example</t>
  </si>
  <si>
    <t>Riverton Public Schools (Fictional Example) — Office of the Director of Technology — illustrative five-year planning horizon.</t>
  </si>
  <si>
    <t>Purpose</t>
  </si>
  <si>
    <t>Method</t>
  </si>
  <si>
    <t>Internet and 
Wide Area</t>
  </si>
  <si>
    <t>Internet egress is sized from utilization measured at the district gateway. Each building access circuit is sized from that building's measured utilization. The wide-area aggregate is the sum of all building circuits.</t>
  </si>
  <si>
    <t>Reading the Tabs</t>
  </si>
  <si>
    <t>Summary</t>
  </si>
  <si>
    <t>Sizing Model</t>
  </si>
  <si>
    <t>INPUTS</t>
  </si>
  <si>
    <t>PER-SITE SIZING</t>
  </si>
  <si>
    <t>Site</t>
  </si>
  <si>
    <t>Type</t>
  </si>
  <si>
    <t>Students</t>
  </si>
  <si>
    <t>Staff</t>
  </si>
  <si>
    <t>Users</t>
  </si>
  <si>
    <t>Current circuit (Mbps)</t>
  </si>
  <si>
    <t>Measured 95th Today (Mbps)</t>
  </si>
  <si>
    <t>Util % Today</t>
  </si>
  <si>
    <t>Projected 95th End of Term (Mbps)</t>
  </si>
  <si>
    <t>Riverton High School</t>
  </si>
  <si>
    <t>High School</t>
  </si>
  <si>
    <t>North High School</t>
  </si>
  <si>
    <t>East High School</t>
  </si>
  <si>
    <t>Central Middle School</t>
  </si>
  <si>
    <t>Middle School</t>
  </si>
  <si>
    <t>Lincoln Middle School</t>
  </si>
  <si>
    <t>Jefferson Middle School</t>
  </si>
  <si>
    <t>Adams Middle School</t>
  </si>
  <si>
    <t>Monroe Middle School</t>
  </si>
  <si>
    <t>Hamilton Middle School</t>
  </si>
  <si>
    <t>Riverton Career &amp; Tech</t>
  </si>
  <si>
    <t>CTE</t>
  </si>
  <si>
    <t>Elementary School 01</t>
  </si>
  <si>
    <t>Elementary</t>
  </si>
  <si>
    <t>Elementary School 02</t>
  </si>
  <si>
    <t>Elementary School 03</t>
  </si>
  <si>
    <t>Elementary School 04</t>
  </si>
  <si>
    <t>Elementary School 05</t>
  </si>
  <si>
    <t>Elementary School 06</t>
  </si>
  <si>
    <t>Elementary School 07</t>
  </si>
  <si>
    <t>Elementary School 08</t>
  </si>
  <si>
    <t>Elementary School 09</t>
  </si>
  <si>
    <t>Elementary School 10</t>
  </si>
  <si>
    <t>Elementary School 11</t>
  </si>
  <si>
    <t>Elementary School 12</t>
  </si>
  <si>
    <t>Elementary School 13</t>
  </si>
  <si>
    <t>Elementary School 14</t>
  </si>
  <si>
    <t>Elementary School 15</t>
  </si>
  <si>
    <t>Elementary School 16</t>
  </si>
  <si>
    <t>Elementary School 17</t>
  </si>
  <si>
    <t>Elementary School 18</t>
  </si>
  <si>
    <t>Elementary School 19</t>
  </si>
  <si>
    <t>Capacity Planning References</t>
  </si>
  <si>
    <t>Fictional district outputs compared with selected published K-12 connectivity references. Capacities are in Mbps unless noted.</t>
  </si>
  <si>
    <t>District internet egress (gateway)</t>
  </si>
  <si>
    <t>Measured 95th-percentile utilization today (Mbps)</t>
  </si>
  <si>
    <t>Current gateway utilization.</t>
  </si>
  <si>
    <t>Projected 95th-percentile utilization at end of term (Mbps)</t>
  </si>
  <si>
    <t>Measured growth plus planned roadmap uplift over the term.</t>
  </si>
  <si>
    <t>Day-one internet tier (Mbps)</t>
  </si>
  <si>
    <t>Illustrative engineering planning threshold used in this workbook; not an E-Rate or SETDA requirement.</t>
  </si>
  <si>
    <t>End-of-term internet tier (Mbps)</t>
  </si>
  <si>
    <t>Provisioned capacity at the end of the term.</t>
  </si>
  <si>
    <t xml:space="preserve">Published per-user references </t>
  </si>
  <si>
    <t>SETDA large-district target (1.4 Mbps/user)</t>
  </si>
  <si>
    <t>SETDA, Broadband Imperative III (2019).</t>
  </si>
  <si>
    <t>FCC internet goal (1 Mbps/user)</t>
  </si>
  <si>
    <t>FCC long-term goal (2014).</t>
  </si>
  <si>
    <t>Wide-area (between buildings)</t>
  </si>
  <si>
    <t>Day-one wide-area total: sum of building tiers (Mbps)</t>
  </si>
  <si>
    <t>Excludes the gateway uplink.</t>
  </si>
  <si>
    <t>End-of-term wide-area total: sum of building tiers (Mbps)</t>
  </si>
  <si>
    <t>Building circuits by end of term.</t>
  </si>
  <si>
    <t>District capacity in this example is derived from fictional measured utilization and assumptions. Published per-user benchmarks are context only. A district should define its own requirements independently and apply current E-Rate rules and state/local procurement requirements.</t>
  </si>
  <si>
    <t>Illustrative Planning Outputs</t>
  </si>
  <si>
    <t>Planning view</t>
  </si>
  <si>
    <t>Day One
(Gbps)</t>
  </si>
  <si>
    <t>End of Term
(Gbps)</t>
  </si>
  <si>
    <t>External reference
(Gbps)</t>
  </si>
  <si>
    <t>Basis / limitation</t>
  </si>
  <si>
    <t>Internet access (egress)</t>
  </si>
  <si>
    <t>Wide-area transport (aggregate)</t>
  </si>
  <si>
    <t>References</t>
  </si>
  <si>
    <t>Item</t>
  </si>
  <si>
    <t>Source</t>
  </si>
  <si>
    <t>Reference</t>
  </si>
  <si>
    <t>Per-user internet target (1.4 Mbps per user)</t>
  </si>
  <si>
    <t>SETDA, The Broadband Imperative III (2019)</t>
  </si>
  <si>
    <t>https://www.setda.org/priorities/equity-of-access/broadband-imperative/broadband-imperative-iii/infrastructure-for-the-future/</t>
  </si>
  <si>
    <t>Federal internet goal (1 Mbps per user)</t>
  </si>
  <si>
    <t>FCC E-Rate Modernization Order (2014)</t>
  </si>
  <si>
    <t>https://docs.fcc.gov/public/attachments/FCC-14-99A1.pdf</t>
  </si>
  <si>
    <t>E-Rate eligibility (Category 1 and Category 2)</t>
  </si>
  <si>
    <t>USAC, Eligible Services List</t>
  </si>
  <si>
    <t>https://www.usac.org/e-rate/applicant-process/before-you-begin/eligible-services-list/</t>
  </si>
  <si>
    <t>Measured utilization and growth rates</t>
  </si>
  <si>
    <t>District network monitoring</t>
  </si>
  <si>
    <t>internal</t>
  </si>
  <si>
    <t>Competitive-bidding / service-provider role</t>
  </si>
  <si>
    <t>USAC: prospective service providers must not prepare a Form 470 or provide input into RFP documents</t>
  </si>
  <si>
    <t>https://www.usac.org/e-rate/service-providers/step-2-responding-to-bids/</t>
  </si>
  <si>
    <t>Capacity is based on each circuit's measured 95th-percentile utilization and a district-selected trailing growth rate, projected across the planning horizon. The example uses a 75% 95th-percentile utilization planning threshold; this is an illustrative engineering assumption, not a federal or SETDA requirement. A separate SETDA user-based WAN planning reference is shown only as external context.</t>
  </si>
  <si>
    <t>In this fictional example, internet access is 10 Gbps at day one and 25 Gbps at the end of the modeled horizon. Building access capacity is rounded to the next 1 Gbps for planning, consistent with Lightpath's published Ethernet committed-rate increments from 1–10 Gbps. Requirements above 10 Gbps require product/interface and route validation rather than an assumed tier. The SETDA 10 Gbps-per-1,000-users WAN figure is displayed separately as a planning reference, not as calculated demand or a required procurement level.</t>
  </si>
  <si>
    <t>Planning horizon (years)</t>
  </si>
  <si>
    <t>Day One Planning Capacity (Mbps)</t>
  </si>
  <si>
    <t>End of Term Planning Capacity (Mbps)</t>
  </si>
  <si>
    <t>SETDA User-Based WAN Reference (Mbps)</t>
  </si>
  <si>
    <t>Illustrative Scalable Path Reference (Mbps)</t>
  </si>
  <si>
    <t>District Data Hub / Internet Gateway</t>
  </si>
  <si>
    <t>Admin/Hub</t>
  </si>
  <si>
    <t>DISTRICT TOTAL</t>
  </si>
  <si>
    <t>DATA CHECKS  •  Leave unused building rows blank. A measured 95th-percentile load greater than the current circuit capacity is flagged for review. If roadmap demand is already reflected in the trailing growth rate, enter 0% for roadmap uplift to avoid double-counting. Building planning capacity is rounded to the next 1 Gbps. Requirements above 10 Gbps require product/interface and route validation.</t>
  </si>
  <si>
    <t>SETDA user-based WAN planning reference: 10 Gbps per 1,000 users (Mbps)</t>
  </si>
  <si>
    <t>SETDA planning reference shown for context only; not calculated district demand and not a required procurement level.</t>
  </si>
  <si>
    <t>N/A</t>
  </si>
  <si>
    <t>Fictional gateway utilization projected across the modeled horizon. The example uses 10/25/40/100-Gbps planning steps for Internet egress; these are illustrative planning levels, not published DIA orderable increments. Lightpath publishes DIA bandwidth up to 100 Gbps.</t>
  </si>
  <si>
    <t>Sum of modeled building-access tiers. The separate SETDA user-based WAN figure is shown only as an external planning reference, not as calculated demand or a required procurement level.</t>
  </si>
  <si>
    <t>Per-Building Access Capacity (Illustrative Planning Counts)</t>
  </si>
  <si>
    <t>Planning capacity</t>
  </si>
  <si>
    <t>Day One # bldgs</t>
  </si>
  <si>
    <t>End of Term # bldgs</t>
  </si>
  <si>
    <t>1 Gbps</t>
  </si>
  <si>
    <t>2 Gbps</t>
  </si>
  <si>
    <t>3 Gbps</t>
  </si>
  <si>
    <t>4 Gbps</t>
  </si>
  <si>
    <t>5 Gbps</t>
  </si>
  <si>
    <t>6 Gbps</t>
  </si>
  <si>
    <t>7 Gbps</t>
  </si>
  <si>
    <t>8 Gbps</t>
  </si>
  <si>
    <t>9 Gbps</t>
  </si>
  <si>
    <t>10 Gbps</t>
  </si>
  <si>
    <t>SETDA user-based WAN planning reference (10 Gbps per 1,000 users)</t>
  </si>
  <si>
    <t>SETDA, Broadband Imperative III</t>
  </si>
  <si>
    <t>FCC scalable-capacity WAN target (10 Gbps per 1,000 students)</t>
  </si>
  <si>
    <t>FCC E-Rate Modernization Order</t>
  </si>
  <si>
    <t>Lightpath Ethernet bandwidth / increments</t>
  </si>
  <si>
    <t>Lightpath Ethernet product sheet: 20 Mbps–10 Gbps; 1–10 Gbps CIR in 1-Gbps increments; up to 100 Gbps as needed</t>
  </si>
  <si>
    <t>https://lightpathfiber.com/sites/default/files/2024-10/lightpath_ethernet_service_sheet_10-2024.pdf</t>
  </si>
  <si>
    <t>Lightpath Ethernet overview</t>
  </si>
  <si>
    <t>Ethernet bandwidth options range from 20 Mbps to 100 Gbps</t>
  </si>
  <si>
    <t>https://lightpathfiber.com/ethernet/</t>
  </si>
  <si>
    <t>Lightpath Wavelengths</t>
  </si>
  <si>
    <t>Published wavelength options include 10G, 40G, 100G, 400G, 800G or custom configurations</t>
  </si>
  <si>
    <t>https://lightpathfiber.com/wavelengths/</t>
  </si>
  <si>
    <t>Derived from the inputs in this workbook. These are internal planning outputs only — not Form 470/RFP specifications, E-Rate eligibility determinations or Lightpath procurement recommendations. Gbps = Mbps / 1,000.</t>
  </si>
  <si>
    <r>
      <t xml:space="preserve">This workbook illustrates one way a district can translate its own measured network utilization, growth history and known roadmap changes into internal capacity-planning ranges. </t>
    </r>
    <r>
      <rPr>
        <b/>
        <sz val="11"/>
        <color rgb="FF000000"/>
        <rFont val="Arial"/>
        <family val="2"/>
      </rPr>
      <t>It is not a Form 470, RFP, bid specification, E-Rate eligibility determination or recommendation from Lightpath about what a district should procure.</t>
    </r>
  </si>
  <si>
    <r>
      <rPr>
        <b/>
        <sz val="11"/>
        <color rgb="FF000000"/>
        <rFont val="Arial"/>
        <family val="2"/>
      </rPr>
      <t>Sizing Model:</t>
    </r>
    <r>
      <rPr>
        <sz val="11"/>
        <color rgb="FF000000"/>
        <rFont val="Arial"/>
        <family val="2"/>
      </rPr>
      <t xml:space="preserve"> Per-site measured utilization, assumptions, projections and illustrative circuit tiers.
</t>
    </r>
    <r>
      <rPr>
        <b/>
        <sz val="11"/>
        <color rgb="FF000000"/>
        <rFont val="Arial"/>
        <family val="2"/>
      </rPr>
      <t>Benchmarks:</t>
    </r>
    <r>
      <rPr>
        <sz val="11"/>
        <color rgb="FF000000"/>
        <rFont val="Arial"/>
        <family val="2"/>
      </rPr>
      <t xml:space="preserve"> District figures compared with published K-12 connectivity references.
</t>
    </r>
    <r>
      <rPr>
        <b/>
        <sz val="11"/>
        <color rgb="FF000000"/>
        <rFont val="Arial"/>
        <family val="2"/>
      </rPr>
      <t>Planning Outputs:</t>
    </r>
    <r>
      <rPr>
        <sz val="11"/>
        <color rgb="FF000000"/>
        <rFont val="Arial"/>
        <family val="2"/>
      </rPr>
      <t xml:space="preserve"> Illustrative planning ranges derived from the fictional inputs; not procurement specifications.
</t>
    </r>
    <r>
      <rPr>
        <b/>
        <sz val="11"/>
        <color rgb="FF000000"/>
        <rFont val="Arial"/>
        <family val="2"/>
      </rPr>
      <t>References:</t>
    </r>
    <r>
      <rPr>
        <sz val="11"/>
        <color rgb="FF000000"/>
        <rFont val="Arial"/>
        <family val="2"/>
      </rPr>
      <t xml:space="preserve"> Sources and important limitations.</t>
    </r>
  </si>
  <si>
    <r>
      <rPr>
        <b/>
        <sz val="11"/>
        <color rgb="FF000000"/>
        <rFont val="Arial"/>
        <family val="2"/>
      </rPr>
      <t>Growth assumption:</t>
    </r>
    <r>
      <rPr>
        <sz val="11"/>
        <color rgb="FF000000"/>
        <rFont val="Arial"/>
        <family val="2"/>
      </rPr>
      <t xml:space="preserve"> trailing CAGR in 95th-percentile utilization</t>
    </r>
  </si>
  <si>
    <r>
      <rPr>
        <b/>
        <sz val="11"/>
        <color rgb="FF000000"/>
        <rFont val="Arial"/>
        <family val="2"/>
      </rPr>
      <t>Roadmap uplift:</t>
    </r>
    <r>
      <rPr>
        <sz val="11"/>
        <color rgb="FF000000"/>
        <rFont val="Arial"/>
        <family val="2"/>
      </rPr>
      <t xml:space="preserve"> incremental demand not already reflected in the historical growth rate</t>
    </r>
  </si>
  <si>
    <r>
      <rPr>
        <b/>
        <sz val="11"/>
        <color rgb="FF000000"/>
        <rFont val="Arial"/>
        <family val="2"/>
      </rPr>
      <t>Planning threshold:</t>
    </r>
    <r>
      <rPr>
        <sz val="11"/>
        <color rgb="FF000000"/>
        <rFont val="Arial"/>
        <family val="2"/>
      </rPr>
      <t xml:space="preserve"> maximum projected 95th-percentile utilization</t>
    </r>
  </si>
  <si>
    <t>Notes</t>
  </si>
  <si>
    <r>
      <rPr>
        <b/>
        <i/>
        <sz val="10"/>
        <color rgb="FF333333"/>
        <rFont val="Arial"/>
        <family val="2"/>
      </rPr>
      <t xml:space="preserve">Capacity note: </t>
    </r>
    <r>
      <rPr>
        <i/>
        <sz val="10"/>
        <color rgb="FF333333"/>
        <rFont val="Arial"/>
        <family val="2"/>
      </rPr>
      <t>Lightpath's published Ethernet specification supports committed rates from 1–10 Gbps in 1-Gbps increments, with Ethernet bandwidth up to 100 Gbps as needed. The worked example therefore rounds building capacity to the next 1 Gbps for planning. Requirements above 10 Gbps require product, interface and route validation rather than an assumed service tier. Lightpath also publishes wavelength options at 10G, 40G, 100G, 400G, 800G and custom configurations for higher-capacity use cases.</t>
    </r>
  </si>
  <si>
    <t>TRY IT WITH YOUR DISTRICT: 
Replace the fictional values in the electric yellow input cells: growth assumption, roadmap uplift, planning horizon, utilization threshold, site name/type, students, staff, current circuit and measured 95th-percentile utilization. Gray cells calculate automatically. Leave unused site rows blank. Review Planning Outputs and Benchmarks after entering your data. This is an internal planning illustration—not a Form 470/RFP specification or E-Rate eligibility determination.</t>
  </si>
  <si>
    <t>Want the full planning context?</t>
  </si>
  <si>
    <t>Download the whitepaper</t>
  </si>
  <si>
    <r>
      <t>Read </t>
    </r>
    <r>
      <rPr>
        <i/>
        <sz val="13"/>
        <color rgb="FF000000"/>
        <rFont val="Arial"/>
        <family val="2"/>
      </rPr>
      <t>The WAN Is the Ceiling</t>
    </r>
    <r>
      <rPr>
        <sz val="13"/>
        <color rgb="FF000000"/>
        <rFont val="Arial"/>
        <family val="2"/>
      </rPr>
      <t> for the E-Rate, WAN, cloud, voice, and capacity-planning framework behind this example.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</si>
</sst>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18" x14ac:knownFonts="1">
    <font>
      <sz val="11"/>
      <color theme="1"/>
      <name val="Calibri"/>
    </font>
    <font>
      <b/>
      <sz val="11"/>
      <color rgb="FFFFFFFF"/>
      <name val="Arial"/>
      <family val="2"/>
    </font>
    <font>
      <sz val="11"/>
      <color rgb="FF000000"/>
      <name val="Arial"/>
      <family val="2"/>
    </font>
    <font>
      <b/>
      <sz val="11"/>
      <color rgb="FF000000"/>
      <name val="Arial"/>
      <family val="2"/>
    </font>
    <font>
      <b/>
      <sz val="26"/>
      <color theme="1"/>
      <name val="Arial"/>
      <family val="2"/>
    </font>
    <font>
      <sz val="15"/>
      <color theme="1" tint="0.34998626667073579"/>
      <name val="Arial"/>
      <family val="2"/>
    </font>
    <font>
      <b/>
      <sz val="13"/>
      <color rgb="FFFFFFFF"/>
      <name val="Arial"/>
      <family val="2"/>
    </font>
    <font>
      <b/>
      <sz val="11"/>
      <name val="Arial"/>
      <family val="2"/>
    </font>
    <font>
      <sz val="11"/>
      <color theme="1"/>
      <name val="Arial"/>
      <family val="2"/>
    </font>
    <font>
      <i/>
      <sz val="10"/>
      <color rgb="FF333333"/>
      <name val="Arial"/>
      <family val="2"/>
    </font>
    <font>
      <b/>
      <i/>
      <sz val="10"/>
      <color rgb="FF333333"/>
      <name val="Arial"/>
      <family val="2"/>
    </font>
    <font>
      <b/>
      <sz val="14"/>
      <color rgb="FF000000"/>
      <name val="Arial"/>
      <family val="2"/>
    </font>
    <font>
      <sz val="14"/>
      <color rgb="FF000000"/>
      <name val="Arial"/>
      <family val="2"/>
    </font>
    <font>
      <b/>
      <sz val="16"/>
      <color rgb="FF000000"/>
      <name val="Arial"/>
      <family val="2"/>
    </font>
    <font>
      <sz val="13"/>
      <color rgb="FF000000"/>
      <name val="Arial"/>
      <family val="2"/>
    </font>
    <font>
      <i/>
      <sz val="13"/>
      <color rgb="FF000000"/>
      <name val="Arial"/>
      <family val="2"/>
    </font>
    <font>
      <u/>
      <sz val="11"/>
      <color theme="10"/>
      <name val="Calibri"/>
      <family val="2"/>
    </font>
    <font>
      <b/>
      <u/>
      <sz val="14"/>
      <color theme="10"/>
      <name val="Arial"/>
      <family val="2"/>
    </font>
  </fonts>
  <fills count="11">
    <fill>
      <patternFill patternType="none"/>
    </fill>
    <fill>
      <patternFill patternType="gray125"/>
    </fill>
    <fill>
      <patternFill patternType="solid">
        <fgColor rgb="FFE0FF00"/>
      </patternFill>
    </fill>
    <fill>
      <patternFill patternType="solid">
        <fgColor rgb="FFFFFFFF"/>
      </patternFill>
    </fill>
    <fill>
      <patternFill patternType="solid">
        <fgColor rgb="FF000000"/>
      </patternFill>
    </fill>
    <fill>
      <patternFill patternType="solid">
        <fgColor theme="0" tint="-4.9989318521683403E-2"/>
        <bgColor indexed="65"/>
      </patternFill>
    </fill>
    <fill>
      <patternFill patternType="solid">
        <fgColor theme="0"/>
      </patternFill>
    </fill>
    <fill>
      <patternFill patternType="solid">
        <fgColor theme="0" tint="-0.249977111117893"/>
        <bgColor indexed="65"/>
      </patternFill>
    </fill>
    <fill>
      <patternFill patternType="solid">
        <fgColor rgb="FFFFFFFF"/>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style="thin">
        <color theme="0" tint="-4.9989318521683403E-2"/>
      </right>
      <top/>
      <bottom style="thin">
        <color rgb="FFBFBFBF"/>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rgb="FFBFBFBF"/>
      </top>
      <bottom style="thin">
        <color theme="0" tint="-4.9989318521683403E-2"/>
      </bottom>
      <diagonal/>
    </border>
    <border>
      <left/>
      <right style="thin">
        <color theme="0" tint="-4.9989318521683403E-2"/>
      </right>
      <top style="thin">
        <color rgb="FFBFBFBF"/>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rgb="FFBFBFBF"/>
      </left>
      <right style="thin">
        <color rgb="FFBFBFBF"/>
      </right>
      <top style="thin">
        <color rgb="FFBFBFBF"/>
      </top>
      <bottom style="thin">
        <color rgb="FFBFBFBF"/>
      </bottom>
      <diagonal/>
    </border>
    <border>
      <left/>
      <right style="thin">
        <color rgb="FF8A8C8E"/>
      </right>
      <top style="thin">
        <color rgb="FF8A8C8E"/>
      </top>
      <bottom/>
      <diagonal/>
    </border>
    <border>
      <left/>
      <right/>
      <top style="thin">
        <color rgb="FF8A8C8E"/>
      </top>
      <bottom/>
      <diagonal/>
    </border>
    <border>
      <left/>
      <right style="thin">
        <color theme="0" tint="-4.9989318521683403E-2"/>
      </right>
      <top/>
      <bottom/>
      <diagonal/>
    </border>
    <border>
      <left style="thin">
        <color theme="0" tint="-4.9989318521683403E-2"/>
      </left>
      <right/>
      <top style="thin">
        <color rgb="FF8A8C8E"/>
      </top>
      <bottom style="thin">
        <color rgb="FFBFBFBF"/>
      </bottom>
      <diagonal/>
    </border>
    <border>
      <left/>
      <right style="thin">
        <color theme="0" tint="-4.9989318521683403E-2"/>
      </right>
      <top style="thin">
        <color rgb="FF8A8C8E"/>
      </top>
      <bottom style="thin">
        <color rgb="FFBFBFBF"/>
      </bottom>
      <diagonal/>
    </border>
    <border>
      <left style="hair">
        <color auto="1"/>
      </left>
      <right style="hair">
        <color auto="1"/>
      </right>
      <top style="hair">
        <color auto="1"/>
      </top>
      <bottom style="hair">
        <color auto="1"/>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top/>
      <bottom style="thin">
        <color theme="0" tint="-4.9989318521683403E-2"/>
      </bottom>
      <diagonal/>
    </border>
  </borders>
  <cellStyleXfs count="2">
    <xf numFmtId="0" fontId="0" fillId="0" borderId="0"/>
    <xf numFmtId="0" fontId="16" fillId="0" borderId="0" applyNumberFormat="0" applyFill="0" applyBorder="0" applyAlignment="0" applyProtection="0"/>
  </cellStyleXfs>
  <cellXfs count="73">
    <xf numFmtId="0" fontId="0" fillId="0" borderId="0" xfId="0"/>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6" fillId="4" borderId="1" xfId="0" applyFont="1" applyFill="1" applyBorder="1" applyAlignment="1">
      <alignment horizontal="left" vertical="center" wrapText="1"/>
    </xf>
    <xf numFmtId="0" fontId="3" fillId="6" borderId="8" xfId="0" applyFont="1" applyFill="1" applyBorder="1" applyAlignment="1">
      <alignment horizontal="left" vertical="center" wrapText="1"/>
    </xf>
    <xf numFmtId="0" fontId="2" fillId="5"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6" borderId="2" xfId="0" applyFont="1" applyFill="1" applyBorder="1" applyAlignment="1">
      <alignment horizontal="left" vertical="center" wrapText="1"/>
    </xf>
    <xf numFmtId="164" fontId="2" fillId="3" borderId="2" xfId="0" applyNumberFormat="1" applyFont="1" applyFill="1" applyBorder="1" applyAlignment="1">
      <alignment horizontal="right" vertical="center" wrapText="1"/>
    </xf>
    <xf numFmtId="0" fontId="2" fillId="3" borderId="5" xfId="0" applyFont="1" applyFill="1" applyBorder="1" applyAlignment="1">
      <alignment horizontal="left" vertical="center" wrapText="1"/>
    </xf>
    <xf numFmtId="0" fontId="3" fillId="6" borderId="5" xfId="0" applyFont="1" applyFill="1" applyBorder="1" applyAlignment="1">
      <alignment horizontal="left" vertical="center" wrapText="1"/>
    </xf>
    <xf numFmtId="0" fontId="2" fillId="0" borderId="8" xfId="0" applyFont="1" applyBorder="1" applyAlignment="1">
      <alignment horizontal="left" vertical="center" wrapText="1"/>
    </xf>
    <xf numFmtId="3" fontId="2" fillId="5" borderId="0" xfId="0" applyNumberFormat="1" applyFont="1" applyFill="1" applyAlignment="1">
      <alignment horizontal="right" vertical="center" wrapText="1"/>
    </xf>
    <xf numFmtId="3" fontId="3" fillId="5" borderId="0" xfId="0" applyNumberFormat="1" applyFont="1" applyFill="1" applyAlignment="1">
      <alignment horizontal="right" vertical="center" wrapText="1"/>
    </xf>
    <xf numFmtId="0" fontId="6" fillId="4" borderId="0" xfId="0" applyFont="1" applyFill="1" applyAlignment="1">
      <alignment horizontal="left" vertical="center" wrapText="1"/>
    </xf>
    <xf numFmtId="0" fontId="3" fillId="6" borderId="2"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2" borderId="0" xfId="0" applyFont="1" applyFill="1" applyAlignment="1">
      <alignment horizontal="center" vertical="center" wrapText="1"/>
    </xf>
    <xf numFmtId="0" fontId="1" fillId="4" borderId="14" xfId="0" applyFont="1" applyFill="1" applyBorder="1" applyAlignment="1">
      <alignment horizontal="left" vertical="center" wrapText="1"/>
    </xf>
    <xf numFmtId="1" fontId="3" fillId="2" borderId="14" xfId="0" applyNumberFormat="1" applyFont="1" applyFill="1" applyBorder="1" applyAlignment="1">
      <alignment horizontal="left" vertical="center" wrapText="1"/>
    </xf>
    <xf numFmtId="1" fontId="3" fillId="2" borderId="14" xfId="0" applyNumberFormat="1" applyFont="1" applyFill="1" applyBorder="1" applyAlignment="1">
      <alignment horizontal="right" vertical="center" wrapText="1"/>
    </xf>
    <xf numFmtId="3" fontId="2" fillId="5" borderId="14" xfId="0" applyNumberFormat="1" applyFont="1" applyFill="1" applyBorder="1" applyAlignment="1">
      <alignment horizontal="right" vertical="center" wrapText="1"/>
    </xf>
    <xf numFmtId="165" fontId="2" fillId="5" borderId="14" xfId="0" applyNumberFormat="1" applyFont="1" applyFill="1" applyBorder="1" applyAlignment="1">
      <alignment horizontal="center" vertical="center" wrapText="1"/>
    </xf>
    <xf numFmtId="3" fontId="3" fillId="5" borderId="14" xfId="0" applyNumberFormat="1" applyFont="1" applyFill="1" applyBorder="1" applyAlignment="1">
      <alignment horizontal="right" vertical="center" wrapText="1"/>
    </xf>
    <xf numFmtId="0" fontId="8" fillId="0" borderId="0" xfId="0" applyFont="1" applyAlignment="1">
      <alignment vertical="center"/>
    </xf>
    <xf numFmtId="0" fontId="8" fillId="0" borderId="0" xfId="0" applyFont="1" applyAlignment="1">
      <alignment wrapText="1"/>
    </xf>
    <xf numFmtId="0" fontId="8" fillId="0" borderId="0" xfId="0" applyFont="1"/>
    <xf numFmtId="0" fontId="8" fillId="2" borderId="0" xfId="0" applyFont="1" applyFill="1" applyAlignment="1">
      <alignment wrapText="1"/>
    </xf>
    <xf numFmtId="0" fontId="8" fillId="0" borderId="0" xfId="0" applyFont="1" applyAlignment="1">
      <alignment horizontal="center"/>
    </xf>
    <xf numFmtId="0" fontId="8" fillId="8" borderId="0" xfId="0" applyFont="1" applyFill="1" applyAlignment="1">
      <alignment wrapText="1"/>
    </xf>
    <xf numFmtId="0" fontId="8" fillId="8" borderId="0" xfId="0" applyFont="1" applyFill="1"/>
    <xf numFmtId="165" fontId="8" fillId="0" borderId="0" xfId="0" applyNumberFormat="1" applyFont="1"/>
    <xf numFmtId="0" fontId="5" fillId="0" borderId="0" xfId="0" applyFont="1" applyAlignment="1">
      <alignment horizontal="left" vertical="top"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10" borderId="7" xfId="0" applyFont="1" applyFill="1" applyBorder="1" applyAlignment="1">
      <alignment horizontal="left" vertical="center" wrapText="1"/>
    </xf>
    <xf numFmtId="0" fontId="8" fillId="0" borderId="7" xfId="0" applyFont="1" applyBorder="1" applyAlignment="1">
      <alignment vertical="center" wrapText="1"/>
    </xf>
    <xf numFmtId="0" fontId="8" fillId="0" borderId="7" xfId="0" applyFont="1" applyBorder="1" applyAlignment="1">
      <alignment vertical="center"/>
    </xf>
    <xf numFmtId="0" fontId="8" fillId="0" borderId="17" xfId="0" applyFont="1" applyBorder="1" applyAlignment="1">
      <alignment vertical="center"/>
    </xf>
    <xf numFmtId="0" fontId="8" fillId="0" borderId="17" xfId="0" applyFont="1" applyBorder="1" applyAlignment="1">
      <alignment vertical="center" wrapText="1"/>
    </xf>
    <xf numFmtId="0" fontId="2" fillId="9" borderId="16"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8" fillId="9" borderId="7" xfId="0" applyFont="1" applyFill="1" applyBorder="1" applyAlignment="1">
      <alignment horizontal="center" vertical="center"/>
    </xf>
    <xf numFmtId="0" fontId="8" fillId="9" borderId="17" xfId="0" applyFont="1" applyFill="1" applyBorder="1" applyAlignment="1">
      <alignment horizontal="center" vertical="center"/>
    </xf>
    <xf numFmtId="0" fontId="4" fillId="0" borderId="0" xfId="0" applyFont="1" applyAlignment="1">
      <alignment wrapText="1"/>
    </xf>
    <xf numFmtId="0" fontId="5" fillId="0" borderId="0" xfId="0" applyFont="1" applyAlignment="1">
      <alignment horizontal="left" vertical="top" wrapText="1"/>
    </xf>
    <xf numFmtId="0" fontId="1" fillId="4" borderId="10" xfId="0" applyFont="1" applyFill="1" applyBorder="1" applyAlignment="1">
      <alignment horizontal="left" vertical="center" wrapText="1"/>
    </xf>
    <xf numFmtId="0" fontId="1" fillId="4" borderId="9" xfId="0" applyFont="1" applyFill="1" applyBorder="1" applyAlignment="1">
      <alignment horizontal="left" vertical="center" wrapText="1"/>
    </xf>
    <xf numFmtId="0" fontId="2" fillId="6" borderId="2" xfId="0" applyFont="1" applyFill="1" applyBorder="1" applyAlignment="1">
      <alignment horizontal="left" vertical="center" wrapText="1"/>
    </xf>
    <xf numFmtId="0" fontId="8" fillId="8" borderId="0" xfId="0" applyFont="1" applyFill="1" applyAlignment="1">
      <alignment wrapText="1"/>
    </xf>
    <xf numFmtId="0" fontId="8" fillId="0" borderId="0" xfId="0" applyFont="1" applyAlignment="1">
      <alignment wrapText="1"/>
    </xf>
    <xf numFmtId="165" fontId="8" fillId="0" borderId="0" xfId="0" applyNumberFormat="1" applyFont="1" applyAlignment="1">
      <alignment wrapText="1"/>
    </xf>
    <xf numFmtId="0" fontId="3" fillId="6" borderId="2" xfId="0" applyFont="1" applyFill="1" applyBorder="1" applyAlignment="1">
      <alignment horizontal="left" vertical="center" wrapText="1"/>
    </xf>
    <xf numFmtId="0" fontId="7" fillId="7" borderId="0" xfId="0" applyFont="1" applyFill="1" applyAlignment="1">
      <alignment horizontal="left" vertical="center" wrapText="1"/>
    </xf>
    <xf numFmtId="0" fontId="6" fillId="4" borderId="0" xfId="0" applyFont="1" applyFill="1" applyAlignment="1">
      <alignment horizontal="left" vertical="center" wrapText="1"/>
    </xf>
    <xf numFmtId="0" fontId="6" fillId="4" borderId="11" xfId="0" applyFont="1" applyFill="1" applyBorder="1" applyAlignment="1">
      <alignment horizontal="left" vertical="center" wrapText="1"/>
    </xf>
    <xf numFmtId="0" fontId="2" fillId="5" borderId="0" xfId="0" applyFont="1" applyFill="1" applyAlignment="1">
      <alignment horizontal="left" vertical="center" wrapText="1"/>
    </xf>
    <xf numFmtId="0" fontId="8" fillId="2" borderId="0" xfId="0" applyFont="1" applyFill="1" applyAlignment="1">
      <alignment horizontal="center" wrapText="1"/>
    </xf>
    <xf numFmtId="0" fontId="4" fillId="0" borderId="0" xfId="0" applyFont="1" applyAlignment="1">
      <alignment horizontal="left" wrapText="1"/>
    </xf>
    <xf numFmtId="0" fontId="3" fillId="5" borderId="0" xfId="0" applyFont="1" applyFill="1" applyAlignment="1">
      <alignment horizontal="left" vertical="center" wrapText="1"/>
    </xf>
    <xf numFmtId="0" fontId="9" fillId="9" borderId="0" xfId="0" applyFont="1" applyFill="1" applyAlignment="1">
      <alignment horizontal="left" vertical="center" wrapText="1"/>
    </xf>
    <xf numFmtId="0" fontId="6" fillId="4" borderId="12"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8" fillId="9" borderId="0" xfId="0" applyFont="1" applyFill="1" applyAlignment="1">
      <alignment vertical="center"/>
    </xf>
    <xf numFmtId="0" fontId="12" fillId="9" borderId="0" xfId="0" applyFont="1" applyFill="1" applyAlignment="1">
      <alignment vertical="center"/>
    </xf>
    <xf numFmtId="0" fontId="11" fillId="9" borderId="0" xfId="0" applyFont="1" applyFill="1" applyAlignment="1">
      <alignment vertical="center"/>
    </xf>
    <xf numFmtId="0" fontId="17" fillId="9" borderId="0" xfId="1" applyFont="1" applyFill="1" applyAlignment="1">
      <alignment horizontal="left" vertical="center"/>
    </xf>
    <xf numFmtId="0" fontId="14" fillId="9" borderId="0" xfId="0" applyFont="1" applyFill="1" applyAlignment="1">
      <alignment horizontal="left" vertical="center"/>
    </xf>
    <xf numFmtId="0" fontId="13" fillId="9" borderId="0" xfId="0"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E0FF00"/>
      <rgbColor rgb="FFFF00FF"/>
      <rgbColor rgb="FF00FFFF"/>
      <rgbColor rgb="FF800000"/>
      <rgbColor rgb="FF008000"/>
      <rgbColor rgb="FF000080"/>
      <rgbColor rgb="FF808000"/>
      <rgbColor rgb="FF800080"/>
      <rgbColor rgb="FF008080"/>
      <rgbColor rgb="FFC0C0C0"/>
      <rgbColor rgb="FF808080"/>
      <rgbColor rgb="FF9999FF"/>
      <rgbColor rgb="FF993366"/>
      <rgbColor rgb="FFF1F1F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A8C8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ightpathfiber.com/wp-content/uploads/2026/09/lightpath-k12-wan-capacity-plann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19"/>
  <sheetViews>
    <sheetView showGridLines="0" tabSelected="1" zoomScale="120" zoomScaleNormal="120" workbookViewId="0">
      <selection activeCell="G8" sqref="G8"/>
    </sheetView>
  </sheetViews>
  <sheetFormatPr baseColWidth="10" defaultColWidth="8.6640625" defaultRowHeight="14" x14ac:dyDescent="0.2"/>
  <cols>
    <col min="1" max="1" width="2.6640625" style="27" customWidth="1"/>
    <col min="2" max="2" width="2" style="27" customWidth="1"/>
    <col min="3" max="3" width="23.6640625" style="27" customWidth="1"/>
    <col min="4" max="4" width="102" style="27" customWidth="1"/>
    <col min="5" max="16384" width="8.6640625" style="27"/>
  </cols>
  <sheetData>
    <row r="2" spans="2:4" x14ac:dyDescent="0.2">
      <c r="B2" s="67"/>
      <c r="C2" s="67"/>
      <c r="D2" s="67"/>
    </row>
    <row r="3" spans="2:4" ht="20" x14ac:dyDescent="0.2">
      <c r="B3" s="67"/>
      <c r="C3" s="72" t="s">
        <v>154</v>
      </c>
      <c r="D3" s="72"/>
    </row>
    <row r="4" spans="2:4" ht="17" x14ac:dyDescent="0.2">
      <c r="B4" s="67"/>
      <c r="C4" s="71" t="s">
        <v>156</v>
      </c>
      <c r="D4" s="71"/>
    </row>
    <row r="5" spans="2:4" ht="9" customHeight="1" x14ac:dyDescent="0.2">
      <c r="B5" s="67"/>
      <c r="C5" s="68"/>
      <c r="D5" s="67"/>
    </row>
    <row r="6" spans="2:4" ht="18" x14ac:dyDescent="0.2">
      <c r="B6" s="67"/>
      <c r="C6" s="70" t="s">
        <v>155</v>
      </c>
      <c r="D6" s="70"/>
    </row>
    <row r="7" spans="2:4" ht="18" x14ac:dyDescent="0.2">
      <c r="B7" s="67"/>
      <c r="C7" s="69"/>
      <c r="D7" s="67"/>
    </row>
    <row r="9" spans="2:4" ht="33" x14ac:dyDescent="0.35">
      <c r="C9" s="48" t="s">
        <v>0</v>
      </c>
      <c r="D9" s="48"/>
    </row>
    <row r="10" spans="2:4" ht="39.75" customHeight="1" x14ac:dyDescent="0.2">
      <c r="C10" s="49" t="s">
        <v>1</v>
      </c>
      <c r="D10" s="49"/>
    </row>
    <row r="11" spans="2:4" ht="3.75" customHeight="1" x14ac:dyDescent="0.15">
      <c r="C11" s="30"/>
      <c r="D11" s="30"/>
    </row>
    <row r="12" spans="2:4" x14ac:dyDescent="0.15">
      <c r="C12" s="28"/>
      <c r="D12" s="28"/>
    </row>
    <row r="13" spans="2:4" ht="58" customHeight="1" x14ac:dyDescent="0.2">
      <c r="C13" s="3" t="s">
        <v>2</v>
      </c>
      <c r="D13" s="11" t="s">
        <v>146</v>
      </c>
    </row>
    <row r="14" spans="2:4" ht="74" customHeight="1" x14ac:dyDescent="0.2">
      <c r="C14" s="3" t="s">
        <v>3</v>
      </c>
      <c r="D14" s="11" t="s">
        <v>102</v>
      </c>
    </row>
    <row r="15" spans="2:4" ht="42" customHeight="1" x14ac:dyDescent="0.2">
      <c r="C15" s="3" t="s">
        <v>4</v>
      </c>
      <c r="D15" s="11" t="s">
        <v>5</v>
      </c>
    </row>
    <row r="16" spans="2:4" ht="78" customHeight="1" x14ac:dyDescent="0.2">
      <c r="C16" s="3" t="s">
        <v>6</v>
      </c>
      <c r="D16" s="11" t="s">
        <v>147</v>
      </c>
    </row>
    <row r="17" spans="3:4" ht="92" customHeight="1" x14ac:dyDescent="0.2">
      <c r="C17" s="3" t="s">
        <v>7</v>
      </c>
      <c r="D17" s="11" t="s">
        <v>103</v>
      </c>
    </row>
    <row r="19" spans="3:4" ht="31.5" customHeight="1" x14ac:dyDescent="0.2"/>
  </sheetData>
  <mergeCells count="5">
    <mergeCell ref="C9:D9"/>
    <mergeCell ref="C10:D10"/>
    <mergeCell ref="C6:D6"/>
    <mergeCell ref="C3:D3"/>
    <mergeCell ref="C4:D4"/>
  </mergeCells>
  <hyperlinks>
    <hyperlink ref="C6:D6" r:id="rId1" display="Download the whitepaper" xr:uid="{46EBBA73-8B49-8047-825C-12535F7C1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66"/>
  <sheetViews>
    <sheetView showGridLines="0" zoomScale="120" zoomScaleNormal="120" workbookViewId="0">
      <selection activeCell="R10" sqref="R10"/>
    </sheetView>
  </sheetViews>
  <sheetFormatPr baseColWidth="10" defaultColWidth="8.6640625" defaultRowHeight="14" x14ac:dyDescent="0.15"/>
  <cols>
    <col min="1" max="1" width="2" style="29" customWidth="1"/>
    <col min="2" max="2" width="28" style="29" customWidth="1"/>
    <col min="3" max="3" width="13.1640625" style="29" customWidth="1"/>
    <col min="4" max="4" width="12.5" style="29" customWidth="1"/>
    <col min="5" max="5" width="10.1640625" style="29" customWidth="1"/>
    <col min="6" max="6" width="10.33203125" style="29" customWidth="1"/>
    <col min="7" max="7" width="8.83203125" style="29" customWidth="1"/>
    <col min="8" max="8" width="12" style="29" customWidth="1"/>
    <col min="9" max="9" width="6.83203125" style="29" customWidth="1"/>
    <col min="10" max="10" width="16" style="29" customWidth="1"/>
    <col min="11" max="11" width="13" style="29" customWidth="1"/>
    <col min="12" max="12" width="14" style="29" customWidth="1"/>
    <col min="13" max="14" width="13" style="29" customWidth="1"/>
    <col min="15" max="16384" width="8.6640625" style="29"/>
  </cols>
  <sheetData>
    <row r="2" spans="2:14" ht="33.75" customHeight="1" x14ac:dyDescent="0.35">
      <c r="B2" s="48" t="s">
        <v>8</v>
      </c>
      <c r="C2" s="48"/>
      <c r="D2" s="48"/>
      <c r="E2" s="48"/>
      <c r="F2" s="48"/>
      <c r="G2" s="48"/>
      <c r="H2" s="48"/>
      <c r="I2" s="48"/>
      <c r="J2" s="48"/>
      <c r="K2" s="48"/>
      <c r="L2" s="48"/>
      <c r="M2" s="48"/>
      <c r="N2" s="48"/>
    </row>
    <row r="3" spans="2:14" ht="99.75" customHeight="1" x14ac:dyDescent="0.15">
      <c r="B3" s="49" t="s">
        <v>153</v>
      </c>
      <c r="C3" s="49"/>
      <c r="D3" s="49"/>
      <c r="E3" s="49"/>
      <c r="F3" s="49"/>
      <c r="G3" s="49"/>
      <c r="H3" s="49"/>
      <c r="I3" s="49"/>
      <c r="J3" s="49"/>
      <c r="K3" s="49"/>
      <c r="L3" s="49"/>
      <c r="M3" s="49"/>
      <c r="N3" s="49"/>
    </row>
    <row r="4" spans="2:14" ht="3" customHeight="1" x14ac:dyDescent="0.15">
      <c r="B4" s="30"/>
      <c r="C4" s="30"/>
      <c r="D4" s="30"/>
      <c r="E4" s="30"/>
      <c r="F4" s="30"/>
      <c r="G4" s="30"/>
      <c r="H4" s="30"/>
      <c r="I4" s="30"/>
      <c r="J4" s="30"/>
      <c r="K4" s="30"/>
      <c r="L4" s="30"/>
      <c r="M4" s="30"/>
      <c r="N4" s="30"/>
    </row>
    <row r="5" spans="2:14" ht="14.25" customHeight="1" x14ac:dyDescent="0.15">
      <c r="B5" s="49"/>
      <c r="C5" s="49"/>
      <c r="D5" s="49"/>
      <c r="E5" s="49"/>
      <c r="F5" s="49"/>
      <c r="G5" s="49"/>
      <c r="H5" s="49"/>
      <c r="I5" s="49"/>
      <c r="J5" s="49"/>
      <c r="K5" s="49"/>
      <c r="L5" s="49"/>
      <c r="M5" s="49"/>
      <c r="N5" s="35"/>
    </row>
    <row r="6" spans="2:14" ht="20" customHeight="1" x14ac:dyDescent="0.15">
      <c r="B6" s="50" t="s">
        <v>9</v>
      </c>
      <c r="C6" s="50"/>
      <c r="D6" s="50"/>
      <c r="E6" s="50"/>
      <c r="F6" s="50"/>
      <c r="G6" s="50"/>
      <c r="H6" s="50"/>
      <c r="I6" s="50"/>
      <c r="J6" s="50"/>
      <c r="K6" s="50"/>
      <c r="L6" s="50"/>
      <c r="M6" s="50"/>
      <c r="N6" s="51"/>
    </row>
    <row r="7" spans="2:14" ht="15" customHeight="1" x14ac:dyDescent="0.15">
      <c r="B7" s="52" t="s">
        <v>148</v>
      </c>
      <c r="C7" s="52"/>
      <c r="D7" s="52"/>
      <c r="E7" s="52"/>
      <c r="F7" s="52"/>
      <c r="G7" s="20">
        <v>0.15</v>
      </c>
      <c r="H7" s="28"/>
      <c r="I7" s="28"/>
      <c r="J7" s="28"/>
      <c r="K7" s="28"/>
      <c r="L7" s="28"/>
      <c r="M7" s="28"/>
      <c r="N7" s="28"/>
    </row>
    <row r="8" spans="2:14" x14ac:dyDescent="0.15">
      <c r="B8" s="52" t="s">
        <v>149</v>
      </c>
      <c r="C8" s="52"/>
      <c r="D8" s="52"/>
      <c r="E8" s="52"/>
      <c r="F8" s="52"/>
      <c r="G8" s="20">
        <v>0.2</v>
      </c>
      <c r="H8" s="28"/>
      <c r="I8" s="28"/>
      <c r="J8" s="28"/>
      <c r="K8" s="28"/>
      <c r="L8" s="28"/>
      <c r="M8" s="28"/>
      <c r="N8" s="28"/>
    </row>
    <row r="9" spans="2:14" ht="15" customHeight="1" x14ac:dyDescent="0.15">
      <c r="B9" s="56" t="s">
        <v>104</v>
      </c>
      <c r="C9" s="52"/>
      <c r="D9" s="52"/>
      <c r="E9" s="52"/>
      <c r="F9" s="52"/>
      <c r="G9" s="20">
        <v>5</v>
      </c>
      <c r="H9" s="28"/>
      <c r="I9" s="28"/>
      <c r="J9" s="28"/>
      <c r="K9" s="28"/>
      <c r="L9" s="28"/>
      <c r="M9" s="28"/>
      <c r="N9" s="28"/>
    </row>
    <row r="10" spans="2:14" ht="15" customHeight="1" x14ac:dyDescent="0.15">
      <c r="B10" s="52" t="s">
        <v>150</v>
      </c>
      <c r="C10" s="52"/>
      <c r="D10" s="52"/>
      <c r="E10" s="52"/>
      <c r="F10" s="52"/>
      <c r="G10" s="20">
        <v>0.75</v>
      </c>
      <c r="H10" s="28"/>
      <c r="I10" s="28"/>
      <c r="J10" s="28"/>
      <c r="K10" s="28"/>
      <c r="L10" s="28"/>
      <c r="M10" s="28"/>
      <c r="N10" s="28"/>
    </row>
    <row r="11" spans="2:14" x14ac:dyDescent="0.15">
      <c r="B11" s="28"/>
      <c r="C11" s="28"/>
      <c r="D11" s="28"/>
      <c r="E11" s="28"/>
      <c r="F11" s="28"/>
      <c r="G11" s="28"/>
      <c r="H11" s="28"/>
      <c r="I11" s="28"/>
      <c r="J11" s="28"/>
      <c r="K11" s="28"/>
      <c r="L11" s="28"/>
      <c r="M11" s="28"/>
      <c r="N11" s="28"/>
    </row>
    <row r="12" spans="2:14" ht="19.5" customHeight="1" x14ac:dyDescent="0.15">
      <c r="B12" s="57" t="s">
        <v>10</v>
      </c>
      <c r="C12" s="57"/>
      <c r="D12" s="57"/>
      <c r="E12" s="57"/>
      <c r="F12" s="57"/>
      <c r="G12" s="57"/>
      <c r="H12" s="57"/>
      <c r="I12" s="57"/>
      <c r="J12" s="57"/>
      <c r="K12" s="57"/>
      <c r="L12" s="57"/>
      <c r="M12" s="57"/>
      <c r="N12" s="57"/>
    </row>
    <row r="13" spans="2:14" ht="83.25" customHeight="1" x14ac:dyDescent="0.15">
      <c r="B13" s="21" t="s">
        <v>11</v>
      </c>
      <c r="C13" s="21" t="s">
        <v>12</v>
      </c>
      <c r="D13" s="21" t="s">
        <v>13</v>
      </c>
      <c r="E13" s="21" t="s">
        <v>14</v>
      </c>
      <c r="F13" s="21" t="s">
        <v>15</v>
      </c>
      <c r="G13" s="21" t="s">
        <v>16</v>
      </c>
      <c r="H13" s="21" t="s">
        <v>17</v>
      </c>
      <c r="I13" s="21" t="s">
        <v>18</v>
      </c>
      <c r="J13" s="21" t="s">
        <v>19</v>
      </c>
      <c r="K13" s="21" t="s">
        <v>105</v>
      </c>
      <c r="L13" s="21" t="s">
        <v>106</v>
      </c>
      <c r="M13" s="21" t="s">
        <v>107</v>
      </c>
      <c r="N13" s="21" t="s">
        <v>108</v>
      </c>
    </row>
    <row r="14" spans="2:14" ht="15" x14ac:dyDescent="0.15">
      <c r="B14" s="22" t="s">
        <v>20</v>
      </c>
      <c r="C14" s="22" t="s">
        <v>21</v>
      </c>
      <c r="D14" s="23">
        <v>1750</v>
      </c>
      <c r="E14" s="23">
        <v>150</v>
      </c>
      <c r="F14" s="24">
        <f t="shared" ref="F14:F42" si="0">IF(B14="","",IF(COUNTA(D14:E14)=0,"",SUM(D14:E14)))</f>
        <v>1900</v>
      </c>
      <c r="G14" s="23">
        <v>2000</v>
      </c>
      <c r="H14" s="23">
        <v>1300</v>
      </c>
      <c r="I14" s="25">
        <f t="shared" ref="I14:I42" si="1">IF(B14="","",IF(OR(G14="",H14="",G14&lt;=0),"",H14/G14))</f>
        <v>0.65</v>
      </c>
      <c r="J14" s="24">
        <f t="shared" ref="J14:J45" si="2">IF(OR(B14="",H14=""),"",H14*(1+$G$7)^$G$9*(1+$G$8))</f>
        <v>3137.7172124999988</v>
      </c>
      <c r="K14" s="26">
        <f t="shared" ref="K14:K61" si="3">IF(B14="","",IF(OR(H14="",$G$10="",$G$10&lt;=0,H14&lt;0),"",1000*ROUNDUP((H14/$G$10)/1000,0)))</f>
        <v>2000</v>
      </c>
      <c r="L14" s="24">
        <f t="shared" ref="L14:L61" si="4">IF(B14="","",IF(OR(J14="",$G$10="",$G$10&lt;=0,J14&lt;0),"",1000*ROUNDUP((J14/$G$10)/1000,0)))</f>
        <v>5000</v>
      </c>
      <c r="M14" s="24">
        <f t="shared" ref="M14:M42" si="5">IF(B14="","",IF(F14="","",F14*10))</f>
        <v>19000</v>
      </c>
      <c r="N14" s="24">
        <f t="shared" ref="N14:N42" si="6">IF(B14="","",IF(OR(L14="",M14=""),"",MAX(L14,M14)))</f>
        <v>19000</v>
      </c>
    </row>
    <row r="15" spans="2:14" ht="15" x14ac:dyDescent="0.15">
      <c r="B15" s="22" t="s">
        <v>22</v>
      </c>
      <c r="C15" s="22" t="s">
        <v>21</v>
      </c>
      <c r="D15" s="23">
        <v>1700</v>
      </c>
      <c r="E15" s="23">
        <v>145</v>
      </c>
      <c r="F15" s="24">
        <f t="shared" si="0"/>
        <v>1845</v>
      </c>
      <c r="G15" s="23">
        <v>2000</v>
      </c>
      <c r="H15" s="23">
        <v>1280</v>
      </c>
      <c r="I15" s="25">
        <f t="shared" si="1"/>
        <v>0.64</v>
      </c>
      <c r="J15" s="24">
        <f t="shared" si="2"/>
        <v>3089.4446399999993</v>
      </c>
      <c r="K15" s="26">
        <f t="shared" si="3"/>
        <v>2000</v>
      </c>
      <c r="L15" s="24">
        <f t="shared" si="4"/>
        <v>5000</v>
      </c>
      <c r="M15" s="24">
        <f t="shared" si="5"/>
        <v>18450</v>
      </c>
      <c r="N15" s="24">
        <f t="shared" si="6"/>
        <v>18450</v>
      </c>
    </row>
    <row r="16" spans="2:14" ht="15" x14ac:dyDescent="0.15">
      <c r="B16" s="22" t="s">
        <v>23</v>
      </c>
      <c r="C16" s="22" t="s">
        <v>21</v>
      </c>
      <c r="D16" s="23">
        <v>1650</v>
      </c>
      <c r="E16" s="23">
        <v>140</v>
      </c>
      <c r="F16" s="24">
        <f t="shared" si="0"/>
        <v>1790</v>
      </c>
      <c r="G16" s="23">
        <v>2000</v>
      </c>
      <c r="H16" s="23">
        <v>1250</v>
      </c>
      <c r="I16" s="25">
        <f t="shared" si="1"/>
        <v>0.625</v>
      </c>
      <c r="J16" s="24">
        <f t="shared" si="2"/>
        <v>3017.0357812499992</v>
      </c>
      <c r="K16" s="26">
        <f t="shared" si="3"/>
        <v>2000</v>
      </c>
      <c r="L16" s="24">
        <f t="shared" si="4"/>
        <v>5000</v>
      </c>
      <c r="M16" s="24">
        <f t="shared" si="5"/>
        <v>17900</v>
      </c>
      <c r="N16" s="24">
        <f t="shared" si="6"/>
        <v>17900</v>
      </c>
    </row>
    <row r="17" spans="2:14" ht="30" x14ac:dyDescent="0.15">
      <c r="B17" s="22" t="s">
        <v>24</v>
      </c>
      <c r="C17" s="22" t="s">
        <v>25</v>
      </c>
      <c r="D17" s="23">
        <v>980</v>
      </c>
      <c r="E17" s="23">
        <v>68</v>
      </c>
      <c r="F17" s="24">
        <f t="shared" si="0"/>
        <v>1048</v>
      </c>
      <c r="G17" s="23">
        <v>1000</v>
      </c>
      <c r="H17" s="23">
        <v>660</v>
      </c>
      <c r="I17" s="25">
        <f t="shared" si="1"/>
        <v>0.66</v>
      </c>
      <c r="J17" s="24">
        <f t="shared" si="2"/>
        <v>1592.9948924999994</v>
      </c>
      <c r="K17" s="26">
        <f t="shared" si="3"/>
        <v>1000</v>
      </c>
      <c r="L17" s="24">
        <f t="shared" si="4"/>
        <v>3000</v>
      </c>
      <c r="M17" s="24">
        <f t="shared" si="5"/>
        <v>10480</v>
      </c>
      <c r="N17" s="24">
        <f t="shared" si="6"/>
        <v>10480</v>
      </c>
    </row>
    <row r="18" spans="2:14" ht="30" x14ac:dyDescent="0.15">
      <c r="B18" s="22" t="s">
        <v>26</v>
      </c>
      <c r="C18" s="22" t="s">
        <v>25</v>
      </c>
      <c r="D18" s="23">
        <v>940</v>
      </c>
      <c r="E18" s="23">
        <v>64</v>
      </c>
      <c r="F18" s="24">
        <f t="shared" si="0"/>
        <v>1004</v>
      </c>
      <c r="G18" s="23">
        <v>1000</v>
      </c>
      <c r="H18" s="23">
        <v>620</v>
      </c>
      <c r="I18" s="25">
        <f t="shared" si="1"/>
        <v>0.62</v>
      </c>
      <c r="J18" s="24">
        <f t="shared" si="2"/>
        <v>1496.4497474999994</v>
      </c>
      <c r="K18" s="26">
        <f t="shared" si="3"/>
        <v>1000</v>
      </c>
      <c r="L18" s="24">
        <f t="shared" si="4"/>
        <v>2000</v>
      </c>
      <c r="M18" s="24">
        <f t="shared" si="5"/>
        <v>10040</v>
      </c>
      <c r="N18" s="24">
        <f t="shared" si="6"/>
        <v>10040</v>
      </c>
    </row>
    <row r="19" spans="2:14" ht="30" x14ac:dyDescent="0.15">
      <c r="B19" s="22" t="s">
        <v>27</v>
      </c>
      <c r="C19" s="22" t="s">
        <v>25</v>
      </c>
      <c r="D19" s="23">
        <v>960</v>
      </c>
      <c r="E19" s="23">
        <v>66</v>
      </c>
      <c r="F19" s="24">
        <f t="shared" si="0"/>
        <v>1026</v>
      </c>
      <c r="G19" s="23">
        <v>1000</v>
      </c>
      <c r="H19" s="23">
        <v>640</v>
      </c>
      <c r="I19" s="25">
        <f t="shared" si="1"/>
        <v>0.64</v>
      </c>
      <c r="J19" s="24">
        <f t="shared" si="2"/>
        <v>1544.7223199999996</v>
      </c>
      <c r="K19" s="26">
        <f t="shared" si="3"/>
        <v>1000</v>
      </c>
      <c r="L19" s="24">
        <f t="shared" si="4"/>
        <v>3000</v>
      </c>
      <c r="M19" s="24">
        <f t="shared" si="5"/>
        <v>10260</v>
      </c>
      <c r="N19" s="24">
        <f t="shared" si="6"/>
        <v>10260</v>
      </c>
    </row>
    <row r="20" spans="2:14" ht="30" x14ac:dyDescent="0.15">
      <c r="B20" s="22" t="s">
        <v>28</v>
      </c>
      <c r="C20" s="22" t="s">
        <v>25</v>
      </c>
      <c r="D20" s="23">
        <v>930</v>
      </c>
      <c r="E20" s="23">
        <v>63</v>
      </c>
      <c r="F20" s="24">
        <f t="shared" si="0"/>
        <v>993</v>
      </c>
      <c r="G20" s="23">
        <v>1000</v>
      </c>
      <c r="H20" s="23">
        <v>610</v>
      </c>
      <c r="I20" s="25">
        <f t="shared" si="1"/>
        <v>0.61</v>
      </c>
      <c r="J20" s="24">
        <f t="shared" si="2"/>
        <v>1472.3134612499996</v>
      </c>
      <c r="K20" s="26">
        <f t="shared" si="3"/>
        <v>1000</v>
      </c>
      <c r="L20" s="24">
        <f t="shared" si="4"/>
        <v>2000</v>
      </c>
      <c r="M20" s="24">
        <f t="shared" si="5"/>
        <v>9930</v>
      </c>
      <c r="N20" s="24">
        <f t="shared" si="6"/>
        <v>9930</v>
      </c>
    </row>
    <row r="21" spans="2:14" ht="30" x14ac:dyDescent="0.15">
      <c r="B21" s="22" t="s">
        <v>29</v>
      </c>
      <c r="C21" s="22" t="s">
        <v>25</v>
      </c>
      <c r="D21" s="23">
        <v>950</v>
      </c>
      <c r="E21" s="23">
        <v>65</v>
      </c>
      <c r="F21" s="24">
        <f t="shared" si="0"/>
        <v>1015</v>
      </c>
      <c r="G21" s="23">
        <v>1000</v>
      </c>
      <c r="H21" s="23">
        <v>635</v>
      </c>
      <c r="I21" s="25">
        <f t="shared" si="1"/>
        <v>0.63500000000000001</v>
      </c>
      <c r="J21" s="24">
        <f t="shared" si="2"/>
        <v>1532.6541768749994</v>
      </c>
      <c r="K21" s="26">
        <f t="shared" si="3"/>
        <v>1000</v>
      </c>
      <c r="L21" s="24">
        <f t="shared" si="4"/>
        <v>3000</v>
      </c>
      <c r="M21" s="24">
        <f t="shared" si="5"/>
        <v>10150</v>
      </c>
      <c r="N21" s="24">
        <f t="shared" si="6"/>
        <v>10150</v>
      </c>
    </row>
    <row r="22" spans="2:14" ht="30" x14ac:dyDescent="0.15">
      <c r="B22" s="22" t="s">
        <v>30</v>
      </c>
      <c r="C22" s="22" t="s">
        <v>25</v>
      </c>
      <c r="D22" s="23">
        <v>945</v>
      </c>
      <c r="E22" s="23">
        <v>64</v>
      </c>
      <c r="F22" s="24">
        <f t="shared" si="0"/>
        <v>1009</v>
      </c>
      <c r="G22" s="23">
        <v>1000</v>
      </c>
      <c r="H22" s="23">
        <v>630</v>
      </c>
      <c r="I22" s="25">
        <f t="shared" si="1"/>
        <v>0.63</v>
      </c>
      <c r="J22" s="24">
        <f t="shared" si="2"/>
        <v>1520.5860337499994</v>
      </c>
      <c r="K22" s="26">
        <f t="shared" si="3"/>
        <v>1000</v>
      </c>
      <c r="L22" s="24">
        <f t="shared" si="4"/>
        <v>3000</v>
      </c>
      <c r="M22" s="24">
        <f t="shared" si="5"/>
        <v>10090</v>
      </c>
      <c r="N22" s="24">
        <f t="shared" si="6"/>
        <v>10090</v>
      </c>
    </row>
    <row r="23" spans="2:14" ht="23" customHeight="1" x14ac:dyDescent="0.15">
      <c r="B23" s="22" t="s">
        <v>31</v>
      </c>
      <c r="C23" s="22" t="s">
        <v>32</v>
      </c>
      <c r="D23" s="23">
        <v>600</v>
      </c>
      <c r="E23" s="23">
        <v>55</v>
      </c>
      <c r="F23" s="24">
        <f t="shared" si="0"/>
        <v>655</v>
      </c>
      <c r="G23" s="23">
        <v>1000</v>
      </c>
      <c r="H23" s="23">
        <v>600</v>
      </c>
      <c r="I23" s="25">
        <f t="shared" si="1"/>
        <v>0.6</v>
      </c>
      <c r="J23" s="24">
        <f t="shared" si="2"/>
        <v>1448.1771749999996</v>
      </c>
      <c r="K23" s="26">
        <f t="shared" si="3"/>
        <v>1000</v>
      </c>
      <c r="L23" s="24">
        <f t="shared" si="4"/>
        <v>2000</v>
      </c>
      <c r="M23" s="24">
        <f t="shared" si="5"/>
        <v>6550</v>
      </c>
      <c r="N23" s="24">
        <f t="shared" si="6"/>
        <v>6550</v>
      </c>
    </row>
    <row r="24" spans="2:14" ht="15" x14ac:dyDescent="0.15">
      <c r="B24" s="22" t="s">
        <v>33</v>
      </c>
      <c r="C24" s="22" t="s">
        <v>34</v>
      </c>
      <c r="D24" s="23">
        <v>610</v>
      </c>
      <c r="E24" s="23">
        <v>40</v>
      </c>
      <c r="F24" s="24">
        <f t="shared" si="0"/>
        <v>650</v>
      </c>
      <c r="G24" s="23">
        <v>1000</v>
      </c>
      <c r="H24" s="23">
        <v>560</v>
      </c>
      <c r="I24" s="25">
        <f t="shared" si="1"/>
        <v>0.56000000000000005</v>
      </c>
      <c r="J24" s="24">
        <f t="shared" si="2"/>
        <v>1351.6320299999995</v>
      </c>
      <c r="K24" s="26">
        <f t="shared" si="3"/>
        <v>1000</v>
      </c>
      <c r="L24" s="24">
        <f t="shared" si="4"/>
        <v>2000</v>
      </c>
      <c r="M24" s="24">
        <f t="shared" si="5"/>
        <v>6500</v>
      </c>
      <c r="N24" s="24">
        <f t="shared" si="6"/>
        <v>6500</v>
      </c>
    </row>
    <row r="25" spans="2:14" ht="15" x14ac:dyDescent="0.15">
      <c r="B25" s="22" t="s">
        <v>35</v>
      </c>
      <c r="C25" s="22" t="s">
        <v>34</v>
      </c>
      <c r="D25" s="23">
        <v>600</v>
      </c>
      <c r="E25" s="23">
        <v>39</v>
      </c>
      <c r="F25" s="24">
        <f t="shared" si="0"/>
        <v>639</v>
      </c>
      <c r="G25" s="23">
        <v>1000</v>
      </c>
      <c r="H25" s="23">
        <v>520</v>
      </c>
      <c r="I25" s="25">
        <f t="shared" si="1"/>
        <v>0.52</v>
      </c>
      <c r="J25" s="24">
        <f t="shared" si="2"/>
        <v>1255.0868849999997</v>
      </c>
      <c r="K25" s="26">
        <f t="shared" si="3"/>
        <v>1000</v>
      </c>
      <c r="L25" s="24">
        <f t="shared" si="4"/>
        <v>2000</v>
      </c>
      <c r="M25" s="24">
        <f t="shared" si="5"/>
        <v>6390</v>
      </c>
      <c r="N25" s="24">
        <f t="shared" si="6"/>
        <v>6390</v>
      </c>
    </row>
    <row r="26" spans="2:14" ht="15" x14ac:dyDescent="0.15">
      <c r="B26" s="22" t="s">
        <v>36</v>
      </c>
      <c r="C26" s="22" t="s">
        <v>34</v>
      </c>
      <c r="D26" s="23">
        <v>590</v>
      </c>
      <c r="E26" s="23">
        <v>38</v>
      </c>
      <c r="F26" s="24">
        <f t="shared" si="0"/>
        <v>628</v>
      </c>
      <c r="G26" s="23">
        <v>1000</v>
      </c>
      <c r="H26" s="23">
        <v>505</v>
      </c>
      <c r="I26" s="25">
        <f t="shared" si="1"/>
        <v>0.505</v>
      </c>
      <c r="J26" s="24">
        <f t="shared" si="2"/>
        <v>1218.8824556249995</v>
      </c>
      <c r="K26" s="26">
        <f t="shared" si="3"/>
        <v>1000</v>
      </c>
      <c r="L26" s="24">
        <f t="shared" si="4"/>
        <v>2000</v>
      </c>
      <c r="M26" s="24">
        <f t="shared" si="5"/>
        <v>6280</v>
      </c>
      <c r="N26" s="24">
        <f t="shared" si="6"/>
        <v>6280</v>
      </c>
    </row>
    <row r="27" spans="2:14" ht="15" x14ac:dyDescent="0.15">
      <c r="B27" s="22" t="s">
        <v>37</v>
      </c>
      <c r="C27" s="22" t="s">
        <v>34</v>
      </c>
      <c r="D27" s="23">
        <v>580</v>
      </c>
      <c r="E27" s="23">
        <v>38</v>
      </c>
      <c r="F27" s="24">
        <f t="shared" si="0"/>
        <v>618</v>
      </c>
      <c r="G27" s="23">
        <v>1000</v>
      </c>
      <c r="H27" s="23">
        <v>500</v>
      </c>
      <c r="I27" s="25">
        <f t="shared" si="1"/>
        <v>0.5</v>
      </c>
      <c r="J27" s="24">
        <f t="shared" si="2"/>
        <v>1206.8143124999995</v>
      </c>
      <c r="K27" s="26">
        <f t="shared" si="3"/>
        <v>1000</v>
      </c>
      <c r="L27" s="24">
        <f t="shared" si="4"/>
        <v>2000</v>
      </c>
      <c r="M27" s="24">
        <f t="shared" si="5"/>
        <v>6180</v>
      </c>
      <c r="N27" s="24">
        <f t="shared" si="6"/>
        <v>6180</v>
      </c>
    </row>
    <row r="28" spans="2:14" ht="15" x14ac:dyDescent="0.15">
      <c r="B28" s="22" t="s">
        <v>38</v>
      </c>
      <c r="C28" s="22" t="s">
        <v>34</v>
      </c>
      <c r="D28" s="23">
        <v>575</v>
      </c>
      <c r="E28" s="23">
        <v>37</v>
      </c>
      <c r="F28" s="24">
        <f t="shared" si="0"/>
        <v>612</v>
      </c>
      <c r="G28" s="23">
        <v>1000</v>
      </c>
      <c r="H28" s="23">
        <v>495</v>
      </c>
      <c r="I28" s="25">
        <f t="shared" si="1"/>
        <v>0.495</v>
      </c>
      <c r="J28" s="24">
        <f t="shared" si="2"/>
        <v>1194.7461693749997</v>
      </c>
      <c r="K28" s="26">
        <f t="shared" si="3"/>
        <v>1000</v>
      </c>
      <c r="L28" s="24">
        <f t="shared" si="4"/>
        <v>2000</v>
      </c>
      <c r="M28" s="24">
        <f t="shared" si="5"/>
        <v>6120</v>
      </c>
      <c r="N28" s="24">
        <f t="shared" si="6"/>
        <v>6120</v>
      </c>
    </row>
    <row r="29" spans="2:14" ht="15" x14ac:dyDescent="0.15">
      <c r="B29" s="22" t="s">
        <v>39</v>
      </c>
      <c r="C29" s="22" t="s">
        <v>34</v>
      </c>
      <c r="D29" s="23">
        <v>620</v>
      </c>
      <c r="E29" s="23">
        <v>40</v>
      </c>
      <c r="F29" s="24">
        <f t="shared" si="0"/>
        <v>660</v>
      </c>
      <c r="G29" s="23">
        <v>1000</v>
      </c>
      <c r="H29" s="23">
        <v>560</v>
      </c>
      <c r="I29" s="25">
        <f t="shared" si="1"/>
        <v>0.56000000000000005</v>
      </c>
      <c r="J29" s="24">
        <f t="shared" si="2"/>
        <v>1351.6320299999995</v>
      </c>
      <c r="K29" s="26">
        <f t="shared" si="3"/>
        <v>1000</v>
      </c>
      <c r="L29" s="24">
        <f t="shared" si="4"/>
        <v>2000</v>
      </c>
      <c r="M29" s="24">
        <f t="shared" si="5"/>
        <v>6600</v>
      </c>
      <c r="N29" s="24">
        <f t="shared" si="6"/>
        <v>6600</v>
      </c>
    </row>
    <row r="30" spans="2:14" ht="15" x14ac:dyDescent="0.15">
      <c r="B30" s="22" t="s">
        <v>40</v>
      </c>
      <c r="C30" s="22" t="s">
        <v>34</v>
      </c>
      <c r="D30" s="23">
        <v>560</v>
      </c>
      <c r="E30" s="23">
        <v>36</v>
      </c>
      <c r="F30" s="24">
        <f t="shared" si="0"/>
        <v>596</v>
      </c>
      <c r="G30" s="23">
        <v>1000</v>
      </c>
      <c r="H30" s="23">
        <v>480</v>
      </c>
      <c r="I30" s="25">
        <f t="shared" si="1"/>
        <v>0.48</v>
      </c>
      <c r="J30" s="24">
        <f t="shared" si="2"/>
        <v>1158.5417399999997</v>
      </c>
      <c r="K30" s="26">
        <f t="shared" si="3"/>
        <v>1000</v>
      </c>
      <c r="L30" s="24">
        <f t="shared" si="4"/>
        <v>2000</v>
      </c>
      <c r="M30" s="24">
        <f t="shared" si="5"/>
        <v>5960</v>
      </c>
      <c r="N30" s="24">
        <f t="shared" si="6"/>
        <v>5960</v>
      </c>
    </row>
    <row r="31" spans="2:14" ht="15" x14ac:dyDescent="0.15">
      <c r="B31" s="22" t="s">
        <v>41</v>
      </c>
      <c r="C31" s="22" t="s">
        <v>34</v>
      </c>
      <c r="D31" s="23">
        <v>585</v>
      </c>
      <c r="E31" s="23">
        <v>38</v>
      </c>
      <c r="F31" s="24">
        <f t="shared" si="0"/>
        <v>623</v>
      </c>
      <c r="G31" s="23">
        <v>1000</v>
      </c>
      <c r="H31" s="23">
        <v>510</v>
      </c>
      <c r="I31" s="25">
        <f t="shared" si="1"/>
        <v>0.51</v>
      </c>
      <c r="J31" s="24">
        <f t="shared" si="2"/>
        <v>1230.9505987499995</v>
      </c>
      <c r="K31" s="26">
        <f t="shared" si="3"/>
        <v>1000</v>
      </c>
      <c r="L31" s="24">
        <f t="shared" si="4"/>
        <v>2000</v>
      </c>
      <c r="M31" s="24">
        <f t="shared" si="5"/>
        <v>6230</v>
      </c>
      <c r="N31" s="24">
        <f t="shared" si="6"/>
        <v>6230</v>
      </c>
    </row>
    <row r="32" spans="2:14" ht="15" x14ac:dyDescent="0.15">
      <c r="B32" s="22" t="s">
        <v>42</v>
      </c>
      <c r="C32" s="22" t="s">
        <v>34</v>
      </c>
      <c r="D32" s="23">
        <v>595</v>
      </c>
      <c r="E32" s="23">
        <v>39</v>
      </c>
      <c r="F32" s="24">
        <f t="shared" si="0"/>
        <v>634</v>
      </c>
      <c r="G32" s="23">
        <v>1000</v>
      </c>
      <c r="H32" s="23">
        <v>520</v>
      </c>
      <c r="I32" s="25">
        <f t="shared" si="1"/>
        <v>0.52</v>
      </c>
      <c r="J32" s="24">
        <f t="shared" si="2"/>
        <v>1255.0868849999997</v>
      </c>
      <c r="K32" s="26">
        <f t="shared" si="3"/>
        <v>1000</v>
      </c>
      <c r="L32" s="24">
        <f t="shared" si="4"/>
        <v>2000</v>
      </c>
      <c r="M32" s="24">
        <f t="shared" si="5"/>
        <v>6340</v>
      </c>
      <c r="N32" s="24">
        <f t="shared" si="6"/>
        <v>6340</v>
      </c>
    </row>
    <row r="33" spans="2:14" ht="15" x14ac:dyDescent="0.15">
      <c r="B33" s="22" t="s">
        <v>43</v>
      </c>
      <c r="C33" s="22" t="s">
        <v>34</v>
      </c>
      <c r="D33" s="23">
        <v>605</v>
      </c>
      <c r="E33" s="23">
        <v>39</v>
      </c>
      <c r="F33" s="24">
        <f t="shared" si="0"/>
        <v>644</v>
      </c>
      <c r="G33" s="23">
        <v>1000</v>
      </c>
      <c r="H33" s="23">
        <v>540</v>
      </c>
      <c r="I33" s="25">
        <f t="shared" si="1"/>
        <v>0.54</v>
      </c>
      <c r="J33" s="24">
        <f t="shared" si="2"/>
        <v>1303.3594574999995</v>
      </c>
      <c r="K33" s="26">
        <f t="shared" si="3"/>
        <v>1000</v>
      </c>
      <c r="L33" s="24">
        <f t="shared" si="4"/>
        <v>2000</v>
      </c>
      <c r="M33" s="24">
        <f t="shared" si="5"/>
        <v>6440</v>
      </c>
      <c r="N33" s="24">
        <f t="shared" si="6"/>
        <v>6440</v>
      </c>
    </row>
    <row r="34" spans="2:14" ht="15" x14ac:dyDescent="0.15">
      <c r="B34" s="22" t="s">
        <v>44</v>
      </c>
      <c r="C34" s="22" t="s">
        <v>34</v>
      </c>
      <c r="D34" s="23">
        <v>570</v>
      </c>
      <c r="E34" s="23">
        <v>37</v>
      </c>
      <c r="F34" s="24">
        <f t="shared" si="0"/>
        <v>607</v>
      </c>
      <c r="G34" s="23">
        <v>1000</v>
      </c>
      <c r="H34" s="23">
        <v>490</v>
      </c>
      <c r="I34" s="25">
        <f t="shared" si="1"/>
        <v>0.49</v>
      </c>
      <c r="J34" s="24">
        <f t="shared" si="2"/>
        <v>1182.6780262499997</v>
      </c>
      <c r="K34" s="26">
        <f t="shared" si="3"/>
        <v>1000</v>
      </c>
      <c r="L34" s="24">
        <f t="shared" si="4"/>
        <v>2000</v>
      </c>
      <c r="M34" s="24">
        <f t="shared" si="5"/>
        <v>6070</v>
      </c>
      <c r="N34" s="24">
        <f t="shared" si="6"/>
        <v>6070</v>
      </c>
    </row>
    <row r="35" spans="2:14" ht="15" x14ac:dyDescent="0.15">
      <c r="B35" s="22" t="s">
        <v>45</v>
      </c>
      <c r="C35" s="22" t="s">
        <v>34</v>
      </c>
      <c r="D35" s="23">
        <v>615</v>
      </c>
      <c r="E35" s="23">
        <v>40</v>
      </c>
      <c r="F35" s="24">
        <f t="shared" si="0"/>
        <v>655</v>
      </c>
      <c r="G35" s="23">
        <v>1000</v>
      </c>
      <c r="H35" s="23">
        <v>555</v>
      </c>
      <c r="I35" s="25">
        <f t="shared" si="1"/>
        <v>0.55500000000000005</v>
      </c>
      <c r="J35" s="24">
        <f t="shared" si="2"/>
        <v>1339.5638868749995</v>
      </c>
      <c r="K35" s="26">
        <f t="shared" si="3"/>
        <v>1000</v>
      </c>
      <c r="L35" s="24">
        <f t="shared" si="4"/>
        <v>2000</v>
      </c>
      <c r="M35" s="24">
        <f t="shared" si="5"/>
        <v>6550</v>
      </c>
      <c r="N35" s="24">
        <f t="shared" si="6"/>
        <v>6550</v>
      </c>
    </row>
    <row r="36" spans="2:14" ht="15" x14ac:dyDescent="0.15">
      <c r="B36" s="22" t="s">
        <v>46</v>
      </c>
      <c r="C36" s="22" t="s">
        <v>34</v>
      </c>
      <c r="D36" s="23">
        <v>565</v>
      </c>
      <c r="E36" s="23">
        <v>37</v>
      </c>
      <c r="F36" s="24">
        <f t="shared" si="0"/>
        <v>602</v>
      </c>
      <c r="G36" s="23">
        <v>1000</v>
      </c>
      <c r="H36" s="23">
        <v>485</v>
      </c>
      <c r="I36" s="25">
        <f t="shared" si="1"/>
        <v>0.48499999999999999</v>
      </c>
      <c r="J36" s="24">
        <f t="shared" si="2"/>
        <v>1170.6098831249994</v>
      </c>
      <c r="K36" s="26">
        <f t="shared" si="3"/>
        <v>1000</v>
      </c>
      <c r="L36" s="24">
        <f t="shared" si="4"/>
        <v>2000</v>
      </c>
      <c r="M36" s="24">
        <f t="shared" si="5"/>
        <v>6020</v>
      </c>
      <c r="N36" s="24">
        <f t="shared" si="6"/>
        <v>6020</v>
      </c>
    </row>
    <row r="37" spans="2:14" ht="15" x14ac:dyDescent="0.15">
      <c r="B37" s="22" t="s">
        <v>47</v>
      </c>
      <c r="C37" s="22" t="s">
        <v>34</v>
      </c>
      <c r="D37" s="23">
        <v>600</v>
      </c>
      <c r="E37" s="23">
        <v>39</v>
      </c>
      <c r="F37" s="24">
        <f t="shared" si="0"/>
        <v>639</v>
      </c>
      <c r="G37" s="23">
        <v>1000</v>
      </c>
      <c r="H37" s="23">
        <v>525</v>
      </c>
      <c r="I37" s="25">
        <f t="shared" si="1"/>
        <v>0.52500000000000002</v>
      </c>
      <c r="J37" s="24">
        <f t="shared" si="2"/>
        <v>1267.1550281249995</v>
      </c>
      <c r="K37" s="26">
        <f t="shared" si="3"/>
        <v>1000</v>
      </c>
      <c r="L37" s="24">
        <f t="shared" si="4"/>
        <v>2000</v>
      </c>
      <c r="M37" s="24">
        <f t="shared" si="5"/>
        <v>6390</v>
      </c>
      <c r="N37" s="24">
        <f t="shared" si="6"/>
        <v>6390</v>
      </c>
    </row>
    <row r="38" spans="2:14" ht="15" x14ac:dyDescent="0.15">
      <c r="B38" s="22" t="s">
        <v>48</v>
      </c>
      <c r="C38" s="22" t="s">
        <v>34</v>
      </c>
      <c r="D38" s="23">
        <v>580</v>
      </c>
      <c r="E38" s="23">
        <v>38</v>
      </c>
      <c r="F38" s="24">
        <f t="shared" si="0"/>
        <v>618</v>
      </c>
      <c r="G38" s="23">
        <v>1000</v>
      </c>
      <c r="H38" s="23">
        <v>500</v>
      </c>
      <c r="I38" s="25">
        <f t="shared" si="1"/>
        <v>0.5</v>
      </c>
      <c r="J38" s="24">
        <f t="shared" si="2"/>
        <v>1206.8143124999995</v>
      </c>
      <c r="K38" s="26">
        <f t="shared" si="3"/>
        <v>1000</v>
      </c>
      <c r="L38" s="24">
        <f t="shared" si="4"/>
        <v>2000</v>
      </c>
      <c r="M38" s="24">
        <f t="shared" si="5"/>
        <v>6180</v>
      </c>
      <c r="N38" s="24">
        <f t="shared" si="6"/>
        <v>6180</v>
      </c>
    </row>
    <row r="39" spans="2:14" ht="15" x14ac:dyDescent="0.15">
      <c r="B39" s="22" t="s">
        <v>49</v>
      </c>
      <c r="C39" s="22" t="s">
        <v>34</v>
      </c>
      <c r="D39" s="23">
        <v>590</v>
      </c>
      <c r="E39" s="23">
        <v>38</v>
      </c>
      <c r="F39" s="24">
        <f t="shared" si="0"/>
        <v>628</v>
      </c>
      <c r="G39" s="23">
        <v>1000</v>
      </c>
      <c r="H39" s="23">
        <v>515</v>
      </c>
      <c r="I39" s="25">
        <f t="shared" si="1"/>
        <v>0.51500000000000001</v>
      </c>
      <c r="J39" s="24">
        <f t="shared" si="2"/>
        <v>1243.0187418749995</v>
      </c>
      <c r="K39" s="26">
        <f t="shared" si="3"/>
        <v>1000</v>
      </c>
      <c r="L39" s="24">
        <f t="shared" si="4"/>
        <v>2000</v>
      </c>
      <c r="M39" s="24">
        <f t="shared" si="5"/>
        <v>6280</v>
      </c>
      <c r="N39" s="24">
        <f t="shared" si="6"/>
        <v>6280</v>
      </c>
    </row>
    <row r="40" spans="2:14" ht="15" x14ac:dyDescent="0.15">
      <c r="B40" s="22" t="s">
        <v>50</v>
      </c>
      <c r="C40" s="22" t="s">
        <v>34</v>
      </c>
      <c r="D40" s="23">
        <v>575</v>
      </c>
      <c r="E40" s="23">
        <v>37</v>
      </c>
      <c r="F40" s="24">
        <f t="shared" si="0"/>
        <v>612</v>
      </c>
      <c r="G40" s="23">
        <v>1000</v>
      </c>
      <c r="H40" s="23">
        <v>495</v>
      </c>
      <c r="I40" s="25">
        <f t="shared" si="1"/>
        <v>0.495</v>
      </c>
      <c r="J40" s="24">
        <f t="shared" si="2"/>
        <v>1194.7461693749997</v>
      </c>
      <c r="K40" s="26">
        <f t="shared" si="3"/>
        <v>1000</v>
      </c>
      <c r="L40" s="24">
        <f t="shared" si="4"/>
        <v>2000</v>
      </c>
      <c r="M40" s="24">
        <f t="shared" si="5"/>
        <v>6120</v>
      </c>
      <c r="N40" s="24">
        <f t="shared" si="6"/>
        <v>6120</v>
      </c>
    </row>
    <row r="41" spans="2:14" ht="15" x14ac:dyDescent="0.15">
      <c r="B41" s="22" t="s">
        <v>51</v>
      </c>
      <c r="C41" s="22" t="s">
        <v>34</v>
      </c>
      <c r="D41" s="23">
        <v>610</v>
      </c>
      <c r="E41" s="23">
        <v>40</v>
      </c>
      <c r="F41" s="24">
        <f t="shared" si="0"/>
        <v>650</v>
      </c>
      <c r="G41" s="23">
        <v>1000</v>
      </c>
      <c r="H41" s="23">
        <v>545</v>
      </c>
      <c r="I41" s="25">
        <f t="shared" si="1"/>
        <v>0.54500000000000004</v>
      </c>
      <c r="J41" s="24">
        <f t="shared" si="2"/>
        <v>1315.4276006249995</v>
      </c>
      <c r="K41" s="26">
        <f t="shared" si="3"/>
        <v>1000</v>
      </c>
      <c r="L41" s="24">
        <f t="shared" si="4"/>
        <v>2000</v>
      </c>
      <c r="M41" s="24">
        <f t="shared" si="5"/>
        <v>6500</v>
      </c>
      <c r="N41" s="24">
        <f t="shared" si="6"/>
        <v>6500</v>
      </c>
    </row>
    <row r="42" spans="2:14" ht="15" x14ac:dyDescent="0.15">
      <c r="B42" s="22" t="s">
        <v>52</v>
      </c>
      <c r="C42" s="22" t="s">
        <v>34</v>
      </c>
      <c r="D42" s="23">
        <v>585</v>
      </c>
      <c r="E42" s="23">
        <v>38</v>
      </c>
      <c r="F42" s="24">
        <f t="shared" si="0"/>
        <v>623</v>
      </c>
      <c r="G42" s="23">
        <v>1000</v>
      </c>
      <c r="H42" s="23">
        <v>505</v>
      </c>
      <c r="I42" s="25">
        <f t="shared" si="1"/>
        <v>0.505</v>
      </c>
      <c r="J42" s="24">
        <f t="shared" si="2"/>
        <v>1218.8824556249995</v>
      </c>
      <c r="K42" s="26">
        <f t="shared" si="3"/>
        <v>1000</v>
      </c>
      <c r="L42" s="24">
        <f t="shared" si="4"/>
        <v>2000</v>
      </c>
      <c r="M42" s="24">
        <f t="shared" si="5"/>
        <v>6230</v>
      </c>
      <c r="N42" s="24">
        <f t="shared" si="6"/>
        <v>6230</v>
      </c>
    </row>
    <row r="43" spans="2:14" x14ac:dyDescent="0.15">
      <c r="B43" s="53"/>
      <c r="C43" s="53"/>
      <c r="D43" s="53"/>
      <c r="E43" s="53"/>
      <c r="F43" s="54"/>
      <c r="G43" s="53"/>
      <c r="H43" s="53"/>
      <c r="I43" s="55"/>
      <c r="J43" s="54" t="str">
        <f t="shared" si="2"/>
        <v/>
      </c>
      <c r="K43" s="54" t="str">
        <f t="shared" si="3"/>
        <v/>
      </c>
      <c r="L43" s="54" t="str">
        <f t="shared" si="4"/>
        <v/>
      </c>
      <c r="M43" s="54"/>
      <c r="N43" s="54"/>
    </row>
    <row r="44" spans="2:14" x14ac:dyDescent="0.15">
      <c r="B44" s="53"/>
      <c r="C44" s="53"/>
      <c r="D44" s="53"/>
      <c r="E44" s="53"/>
      <c r="F44" s="54"/>
      <c r="G44" s="53"/>
      <c r="H44" s="53"/>
      <c r="I44" s="55"/>
      <c r="J44" s="54" t="str">
        <f t="shared" si="2"/>
        <v/>
      </c>
      <c r="K44" s="54" t="str">
        <f t="shared" si="3"/>
        <v/>
      </c>
      <c r="L44" s="54" t="str">
        <f t="shared" si="4"/>
        <v/>
      </c>
      <c r="M44" s="54"/>
      <c r="N44" s="54"/>
    </row>
    <row r="45" spans="2:14" ht="15" x14ac:dyDescent="0.15">
      <c r="B45" s="33"/>
      <c r="C45" s="33"/>
      <c r="D45" s="32"/>
      <c r="E45" s="32"/>
      <c r="F45" s="28" t="str">
        <f t="shared" ref="F45:F62" si="7">IF(B45="","",IF(COUNTA(D45:E45)=0,"",SUM(D45:E45)))</f>
        <v/>
      </c>
      <c r="G45" s="32"/>
      <c r="H45" s="32"/>
      <c r="I45" s="34" t="str">
        <f t="shared" ref="I45:I62" si="8">IF(B45="","",IF(OR(G45="",H45="",G45&lt;=0),"",H45/G45))</f>
        <v/>
      </c>
      <c r="J45" s="29" t="str">
        <f t="shared" si="2"/>
        <v/>
      </c>
      <c r="K45" s="29" t="str">
        <f t="shared" si="3"/>
        <v/>
      </c>
      <c r="L45" s="29" t="str">
        <f t="shared" si="4"/>
        <v/>
      </c>
      <c r="M45" s="29" t="str">
        <f t="shared" ref="M45:M61" si="9">IF(B45="","",IF(F45="","",F45*10))</f>
        <v/>
      </c>
      <c r="N45" s="29" t="str">
        <f t="shared" ref="N45:N61" si="10">IF(B45="","",IF(OR(L45="",M45=""),"",MAX(L45,M45)))</f>
        <v/>
      </c>
    </row>
    <row r="46" spans="2:14" ht="15" x14ac:dyDescent="0.15">
      <c r="B46" s="33"/>
      <c r="C46" s="33"/>
      <c r="D46" s="32"/>
      <c r="E46" s="32"/>
      <c r="F46" s="28" t="str">
        <f t="shared" si="7"/>
        <v/>
      </c>
      <c r="G46" s="32"/>
      <c r="H46" s="32"/>
      <c r="I46" s="34" t="str">
        <f t="shared" si="8"/>
        <v/>
      </c>
      <c r="J46" s="29" t="str">
        <f t="shared" ref="J46:J62" si="11">IF(OR(B46="",H46=""),"",H46*(1+$G$7)^$G$9*(1+$G$8))</f>
        <v/>
      </c>
      <c r="K46" s="29" t="str">
        <f t="shared" si="3"/>
        <v/>
      </c>
      <c r="L46" s="29" t="str">
        <f t="shared" si="4"/>
        <v/>
      </c>
      <c r="M46" s="29" t="str">
        <f t="shared" si="9"/>
        <v/>
      </c>
      <c r="N46" s="29" t="str">
        <f t="shared" si="10"/>
        <v/>
      </c>
    </row>
    <row r="47" spans="2:14" ht="15" x14ac:dyDescent="0.15">
      <c r="B47" s="33"/>
      <c r="C47" s="33"/>
      <c r="D47" s="32"/>
      <c r="E47" s="32"/>
      <c r="F47" s="28" t="str">
        <f t="shared" si="7"/>
        <v/>
      </c>
      <c r="G47" s="32"/>
      <c r="H47" s="32"/>
      <c r="I47" s="34" t="str">
        <f t="shared" si="8"/>
        <v/>
      </c>
      <c r="J47" s="29" t="str">
        <f t="shared" si="11"/>
        <v/>
      </c>
      <c r="K47" s="29" t="str">
        <f t="shared" si="3"/>
        <v/>
      </c>
      <c r="L47" s="29" t="str">
        <f t="shared" si="4"/>
        <v/>
      </c>
      <c r="M47" s="29" t="str">
        <f t="shared" si="9"/>
        <v/>
      </c>
      <c r="N47" s="29" t="str">
        <f t="shared" si="10"/>
        <v/>
      </c>
    </row>
    <row r="48" spans="2:14" ht="15" x14ac:dyDescent="0.15">
      <c r="B48" s="33"/>
      <c r="C48" s="33"/>
      <c r="D48" s="32"/>
      <c r="E48" s="32"/>
      <c r="F48" s="28" t="str">
        <f t="shared" si="7"/>
        <v/>
      </c>
      <c r="G48" s="32"/>
      <c r="H48" s="32"/>
      <c r="I48" s="34" t="str">
        <f t="shared" si="8"/>
        <v/>
      </c>
      <c r="J48" s="29" t="str">
        <f t="shared" si="11"/>
        <v/>
      </c>
      <c r="K48" s="29" t="str">
        <f t="shared" si="3"/>
        <v/>
      </c>
      <c r="L48" s="29" t="str">
        <f t="shared" si="4"/>
        <v/>
      </c>
      <c r="M48" s="29" t="str">
        <f t="shared" si="9"/>
        <v/>
      </c>
      <c r="N48" s="29" t="str">
        <f t="shared" si="10"/>
        <v/>
      </c>
    </row>
    <row r="49" spans="2:14" ht="15" x14ac:dyDescent="0.15">
      <c r="B49" s="33"/>
      <c r="C49" s="33"/>
      <c r="D49" s="32"/>
      <c r="E49" s="32"/>
      <c r="F49" s="28" t="str">
        <f t="shared" si="7"/>
        <v/>
      </c>
      <c r="G49" s="32"/>
      <c r="H49" s="32"/>
      <c r="I49" s="34" t="str">
        <f t="shared" si="8"/>
        <v/>
      </c>
      <c r="J49" s="29" t="str">
        <f t="shared" si="11"/>
        <v/>
      </c>
      <c r="K49" s="29" t="str">
        <f t="shared" si="3"/>
        <v/>
      </c>
      <c r="L49" s="29" t="str">
        <f t="shared" si="4"/>
        <v/>
      </c>
      <c r="M49" s="29" t="str">
        <f t="shared" si="9"/>
        <v/>
      </c>
      <c r="N49" s="29" t="str">
        <f t="shared" si="10"/>
        <v/>
      </c>
    </row>
    <row r="50" spans="2:14" ht="15" x14ac:dyDescent="0.15">
      <c r="B50" s="33"/>
      <c r="C50" s="33"/>
      <c r="D50" s="32"/>
      <c r="E50" s="32"/>
      <c r="F50" s="28" t="str">
        <f t="shared" si="7"/>
        <v/>
      </c>
      <c r="G50" s="32"/>
      <c r="H50" s="32"/>
      <c r="I50" s="34" t="str">
        <f t="shared" si="8"/>
        <v/>
      </c>
      <c r="J50" s="29" t="str">
        <f t="shared" si="11"/>
        <v/>
      </c>
      <c r="K50" s="29" t="str">
        <f t="shared" si="3"/>
        <v/>
      </c>
      <c r="L50" s="29" t="str">
        <f t="shared" si="4"/>
        <v/>
      </c>
      <c r="M50" s="29" t="str">
        <f t="shared" si="9"/>
        <v/>
      </c>
      <c r="N50" s="29" t="str">
        <f t="shared" si="10"/>
        <v/>
      </c>
    </row>
    <row r="51" spans="2:14" ht="15" x14ac:dyDescent="0.15">
      <c r="B51" s="33"/>
      <c r="C51" s="33"/>
      <c r="D51" s="32"/>
      <c r="E51" s="32"/>
      <c r="F51" s="28" t="str">
        <f t="shared" si="7"/>
        <v/>
      </c>
      <c r="G51" s="32"/>
      <c r="H51" s="32"/>
      <c r="I51" s="34" t="str">
        <f t="shared" si="8"/>
        <v/>
      </c>
      <c r="J51" s="29" t="str">
        <f t="shared" si="11"/>
        <v/>
      </c>
      <c r="K51" s="29" t="str">
        <f t="shared" si="3"/>
        <v/>
      </c>
      <c r="L51" s="29" t="str">
        <f t="shared" si="4"/>
        <v/>
      </c>
      <c r="M51" s="29" t="str">
        <f t="shared" si="9"/>
        <v/>
      </c>
      <c r="N51" s="29" t="str">
        <f t="shared" si="10"/>
        <v/>
      </c>
    </row>
    <row r="52" spans="2:14" ht="15" x14ac:dyDescent="0.15">
      <c r="B52" s="33"/>
      <c r="C52" s="33"/>
      <c r="D52" s="32"/>
      <c r="E52" s="32"/>
      <c r="F52" s="28" t="str">
        <f t="shared" si="7"/>
        <v/>
      </c>
      <c r="G52" s="32"/>
      <c r="H52" s="32"/>
      <c r="I52" s="34" t="str">
        <f t="shared" si="8"/>
        <v/>
      </c>
      <c r="J52" s="29" t="str">
        <f t="shared" si="11"/>
        <v/>
      </c>
      <c r="K52" s="29" t="str">
        <f t="shared" si="3"/>
        <v/>
      </c>
      <c r="L52" s="29" t="str">
        <f t="shared" si="4"/>
        <v/>
      </c>
      <c r="M52" s="29" t="str">
        <f t="shared" si="9"/>
        <v/>
      </c>
      <c r="N52" s="29" t="str">
        <f t="shared" si="10"/>
        <v/>
      </c>
    </row>
    <row r="53" spans="2:14" ht="15" x14ac:dyDescent="0.15">
      <c r="B53" s="33"/>
      <c r="C53" s="33"/>
      <c r="D53" s="32"/>
      <c r="E53" s="32"/>
      <c r="F53" s="28" t="str">
        <f t="shared" si="7"/>
        <v/>
      </c>
      <c r="G53" s="32"/>
      <c r="H53" s="32"/>
      <c r="I53" s="34" t="str">
        <f t="shared" si="8"/>
        <v/>
      </c>
      <c r="J53" s="29" t="str">
        <f t="shared" si="11"/>
        <v/>
      </c>
      <c r="K53" s="29" t="str">
        <f t="shared" si="3"/>
        <v/>
      </c>
      <c r="L53" s="29" t="str">
        <f t="shared" si="4"/>
        <v/>
      </c>
      <c r="M53" s="29" t="str">
        <f t="shared" si="9"/>
        <v/>
      </c>
      <c r="N53" s="29" t="str">
        <f t="shared" si="10"/>
        <v/>
      </c>
    </row>
    <row r="54" spans="2:14" ht="15" x14ac:dyDescent="0.15">
      <c r="B54" s="33"/>
      <c r="C54" s="33"/>
      <c r="D54" s="32"/>
      <c r="E54" s="32"/>
      <c r="F54" s="28" t="str">
        <f t="shared" si="7"/>
        <v/>
      </c>
      <c r="G54" s="32"/>
      <c r="H54" s="32"/>
      <c r="I54" s="34" t="str">
        <f t="shared" si="8"/>
        <v/>
      </c>
      <c r="J54" s="29" t="str">
        <f t="shared" si="11"/>
        <v/>
      </c>
      <c r="K54" s="29" t="str">
        <f t="shared" si="3"/>
        <v/>
      </c>
      <c r="L54" s="29" t="str">
        <f t="shared" si="4"/>
        <v/>
      </c>
      <c r="M54" s="29" t="str">
        <f t="shared" si="9"/>
        <v/>
      </c>
      <c r="N54" s="29" t="str">
        <f t="shared" si="10"/>
        <v/>
      </c>
    </row>
    <row r="55" spans="2:14" ht="15" x14ac:dyDescent="0.15">
      <c r="B55" s="33"/>
      <c r="C55" s="33"/>
      <c r="D55" s="32"/>
      <c r="E55" s="32"/>
      <c r="F55" s="28" t="str">
        <f t="shared" si="7"/>
        <v/>
      </c>
      <c r="G55" s="32"/>
      <c r="H55" s="32"/>
      <c r="I55" s="34" t="str">
        <f t="shared" si="8"/>
        <v/>
      </c>
      <c r="J55" s="29" t="str">
        <f t="shared" si="11"/>
        <v/>
      </c>
      <c r="K55" s="29" t="str">
        <f t="shared" si="3"/>
        <v/>
      </c>
      <c r="L55" s="29" t="str">
        <f t="shared" si="4"/>
        <v/>
      </c>
      <c r="M55" s="29" t="str">
        <f t="shared" si="9"/>
        <v/>
      </c>
      <c r="N55" s="29" t="str">
        <f t="shared" si="10"/>
        <v/>
      </c>
    </row>
    <row r="56" spans="2:14" ht="15" x14ac:dyDescent="0.15">
      <c r="B56" s="33"/>
      <c r="C56" s="33"/>
      <c r="D56" s="32"/>
      <c r="E56" s="32"/>
      <c r="F56" s="28" t="str">
        <f t="shared" si="7"/>
        <v/>
      </c>
      <c r="G56" s="32"/>
      <c r="H56" s="32"/>
      <c r="I56" s="34" t="str">
        <f t="shared" si="8"/>
        <v/>
      </c>
      <c r="J56" s="29" t="str">
        <f t="shared" si="11"/>
        <v/>
      </c>
      <c r="K56" s="29" t="str">
        <f t="shared" si="3"/>
        <v/>
      </c>
      <c r="L56" s="29" t="str">
        <f t="shared" si="4"/>
        <v/>
      </c>
      <c r="M56" s="29" t="str">
        <f t="shared" si="9"/>
        <v/>
      </c>
      <c r="N56" s="29" t="str">
        <f t="shared" si="10"/>
        <v/>
      </c>
    </row>
    <row r="57" spans="2:14" ht="15" x14ac:dyDescent="0.15">
      <c r="B57" s="33"/>
      <c r="C57" s="33"/>
      <c r="D57" s="32"/>
      <c r="E57" s="32"/>
      <c r="F57" s="28" t="str">
        <f t="shared" si="7"/>
        <v/>
      </c>
      <c r="G57" s="32"/>
      <c r="H57" s="32"/>
      <c r="I57" s="34" t="str">
        <f t="shared" si="8"/>
        <v/>
      </c>
      <c r="J57" s="29" t="str">
        <f t="shared" si="11"/>
        <v/>
      </c>
      <c r="K57" s="29" t="str">
        <f t="shared" si="3"/>
        <v/>
      </c>
      <c r="L57" s="29" t="str">
        <f t="shared" si="4"/>
        <v/>
      </c>
      <c r="M57" s="29" t="str">
        <f t="shared" si="9"/>
        <v/>
      </c>
      <c r="N57" s="29" t="str">
        <f t="shared" si="10"/>
        <v/>
      </c>
    </row>
    <row r="58" spans="2:14" ht="15" x14ac:dyDescent="0.15">
      <c r="B58" s="33"/>
      <c r="C58" s="33"/>
      <c r="D58" s="32"/>
      <c r="E58" s="32"/>
      <c r="F58" s="28" t="str">
        <f t="shared" si="7"/>
        <v/>
      </c>
      <c r="G58" s="32"/>
      <c r="H58" s="32"/>
      <c r="I58" s="34" t="str">
        <f t="shared" si="8"/>
        <v/>
      </c>
      <c r="J58" s="29" t="str">
        <f t="shared" si="11"/>
        <v/>
      </c>
      <c r="K58" s="29" t="str">
        <f t="shared" si="3"/>
        <v/>
      </c>
      <c r="L58" s="29" t="str">
        <f t="shared" si="4"/>
        <v/>
      </c>
      <c r="M58" s="29" t="str">
        <f t="shared" si="9"/>
        <v/>
      </c>
      <c r="N58" s="29" t="str">
        <f t="shared" si="10"/>
        <v/>
      </c>
    </row>
    <row r="59" spans="2:14" ht="15" x14ac:dyDescent="0.15">
      <c r="B59" s="33"/>
      <c r="C59" s="33"/>
      <c r="D59" s="32"/>
      <c r="E59" s="32"/>
      <c r="F59" s="28" t="str">
        <f t="shared" si="7"/>
        <v/>
      </c>
      <c r="G59" s="32"/>
      <c r="H59" s="32"/>
      <c r="I59" s="34" t="str">
        <f t="shared" si="8"/>
        <v/>
      </c>
      <c r="J59" s="29" t="str">
        <f t="shared" si="11"/>
        <v/>
      </c>
      <c r="K59" s="29" t="str">
        <f t="shared" si="3"/>
        <v/>
      </c>
      <c r="L59" s="29" t="str">
        <f t="shared" si="4"/>
        <v/>
      </c>
      <c r="M59" s="29" t="str">
        <f t="shared" si="9"/>
        <v/>
      </c>
      <c r="N59" s="29" t="str">
        <f t="shared" si="10"/>
        <v/>
      </c>
    </row>
    <row r="60" spans="2:14" ht="15" x14ac:dyDescent="0.15">
      <c r="B60" s="33"/>
      <c r="C60" s="33"/>
      <c r="D60" s="32"/>
      <c r="E60" s="32"/>
      <c r="F60" s="28" t="str">
        <f t="shared" si="7"/>
        <v/>
      </c>
      <c r="G60" s="32"/>
      <c r="H60" s="32"/>
      <c r="I60" s="34" t="str">
        <f t="shared" si="8"/>
        <v/>
      </c>
      <c r="J60" s="29" t="str">
        <f t="shared" si="11"/>
        <v/>
      </c>
      <c r="K60" s="29" t="str">
        <f t="shared" si="3"/>
        <v/>
      </c>
      <c r="L60" s="29" t="str">
        <f t="shared" si="4"/>
        <v/>
      </c>
      <c r="M60" s="29" t="str">
        <f t="shared" si="9"/>
        <v/>
      </c>
      <c r="N60" s="29" t="str">
        <f t="shared" si="10"/>
        <v/>
      </c>
    </row>
    <row r="61" spans="2:14" ht="15" x14ac:dyDescent="0.15">
      <c r="B61" s="33"/>
      <c r="C61" s="33"/>
      <c r="D61" s="32"/>
      <c r="E61" s="32"/>
      <c r="F61" s="28" t="str">
        <f t="shared" si="7"/>
        <v/>
      </c>
      <c r="G61" s="32"/>
      <c r="H61" s="32"/>
      <c r="I61" s="34" t="str">
        <f t="shared" si="8"/>
        <v/>
      </c>
      <c r="J61" s="29" t="str">
        <f t="shared" si="11"/>
        <v/>
      </c>
      <c r="K61" s="29" t="str">
        <f t="shared" si="3"/>
        <v/>
      </c>
      <c r="L61" s="29" t="str">
        <f t="shared" si="4"/>
        <v/>
      </c>
      <c r="M61" s="29" t="str">
        <f t="shared" si="9"/>
        <v/>
      </c>
      <c r="N61" s="29" t="str">
        <f t="shared" si="10"/>
        <v/>
      </c>
    </row>
    <row r="62" spans="2:14" x14ac:dyDescent="0.15">
      <c r="B62" s="29" t="s">
        <v>109</v>
      </c>
      <c r="C62" s="29" t="s">
        <v>110</v>
      </c>
      <c r="D62" s="28">
        <v>0</v>
      </c>
      <c r="E62" s="28">
        <v>180</v>
      </c>
      <c r="F62" s="28">
        <f t="shared" si="7"/>
        <v>180</v>
      </c>
      <c r="G62" s="28">
        <v>10000</v>
      </c>
      <c r="H62" s="28">
        <v>6200</v>
      </c>
      <c r="I62" s="34">
        <f t="shared" si="8"/>
        <v>0.62</v>
      </c>
      <c r="J62" s="29">
        <f t="shared" si="11"/>
        <v>14964.497474999995</v>
      </c>
      <c r="K62" s="29">
        <f>IF(B62="","",IF(OR(H62="",$G$10="",$G$10&lt;=0,H62&lt;0),"",IF(H62/$G$10&lt;=10000,10000,IF(H62/$G$10&lt;=25000,25000,IF(H62/$G$10&lt;=40000,40000,100000)))))</f>
        <v>10000</v>
      </c>
      <c r="L62" s="29">
        <f>IF(B62="","",IF(OR(J62="",$G$10="",$G$10&lt;=0,J62&lt;0),"",IF(J62/$G$10&lt;=10000,10000,IF(J62/$G$10&lt;=25000,25000,IF(J62/$G$10&lt;=40000,40000,100000)))))</f>
        <v>25000</v>
      </c>
    </row>
    <row r="63" spans="2:14" x14ac:dyDescent="0.15">
      <c r="B63" s="29" t="s">
        <v>111</v>
      </c>
      <c r="D63" s="28">
        <f>SUM(D14:D62)</f>
        <v>22615</v>
      </c>
      <c r="E63" s="28">
        <f>SUM(E14:E62)</f>
        <v>1788</v>
      </c>
      <c r="F63" s="28">
        <f>SUM(F14:F62)</f>
        <v>24403</v>
      </c>
      <c r="G63" s="28">
        <f>SUM(G14:G62)</f>
        <v>42000</v>
      </c>
      <c r="H63" s="28">
        <f>SUM(H14:H62)</f>
        <v>24230</v>
      </c>
      <c r="I63" s="34">
        <f>IF(OR(G63="",G63=0),"",H63/G63)</f>
        <v>0.57690476190476192</v>
      </c>
      <c r="J63" s="29">
        <f>SUM(J14:J62)</f>
        <v>58482.22158374999</v>
      </c>
      <c r="K63" s="29">
        <f>SUM(K14:K62)</f>
        <v>42000</v>
      </c>
      <c r="L63" s="29">
        <f>SUM(L14:L62)</f>
        <v>96000</v>
      </c>
      <c r="M63" s="29">
        <f>F63*10</f>
        <v>244030</v>
      </c>
      <c r="N63" s="29">
        <f>SUM(N14:N61)</f>
        <v>242230</v>
      </c>
    </row>
    <row r="65" spans="2:14" x14ac:dyDescent="0.15">
      <c r="B65" s="54" t="s">
        <v>112</v>
      </c>
      <c r="C65" s="54"/>
      <c r="D65" s="54"/>
      <c r="E65" s="54"/>
      <c r="F65" s="54"/>
      <c r="G65" s="54"/>
      <c r="H65" s="54"/>
      <c r="I65" s="54"/>
      <c r="J65" s="54"/>
      <c r="K65" s="54"/>
      <c r="L65" s="54"/>
      <c r="M65" s="54"/>
      <c r="N65" s="54"/>
    </row>
    <row r="66" spans="2:14" x14ac:dyDescent="0.15">
      <c r="B66" s="54"/>
      <c r="C66" s="54"/>
      <c r="D66" s="54"/>
      <c r="E66" s="54"/>
      <c r="F66" s="54"/>
      <c r="G66" s="54"/>
      <c r="H66" s="54"/>
      <c r="I66" s="54"/>
      <c r="J66" s="54"/>
      <c r="K66" s="54"/>
      <c r="L66" s="54"/>
      <c r="M66" s="54"/>
      <c r="N66" s="54"/>
    </row>
  </sheetData>
  <mergeCells count="16">
    <mergeCell ref="B8:F8"/>
    <mergeCell ref="B43:N44"/>
    <mergeCell ref="B65:N66"/>
    <mergeCell ref="B9:F9"/>
    <mergeCell ref="B10:F10"/>
    <mergeCell ref="B12:N12"/>
    <mergeCell ref="L5:M5"/>
    <mergeCell ref="B3:N3"/>
    <mergeCell ref="B2:N2"/>
    <mergeCell ref="B6:N6"/>
    <mergeCell ref="B7:F7"/>
    <mergeCell ref="B5:C5"/>
    <mergeCell ref="D5:E5"/>
    <mergeCell ref="F5:G5"/>
    <mergeCell ref="H5:I5"/>
    <mergeCell ref="J5: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E24"/>
  <sheetViews>
    <sheetView showGridLines="0" topLeftCell="A10" zoomScale="110" zoomScaleNormal="110" workbookViewId="0">
      <selection activeCell="B2" sqref="B2:E2"/>
    </sheetView>
  </sheetViews>
  <sheetFormatPr baseColWidth="10" defaultColWidth="8.6640625" defaultRowHeight="14" x14ac:dyDescent="0.15"/>
  <cols>
    <col min="1" max="1" width="2" style="29" customWidth="1"/>
    <col min="2" max="2" width="48" style="29" customWidth="1"/>
    <col min="3" max="3" width="16" style="29" customWidth="1"/>
    <col min="4" max="4" width="5" style="29" customWidth="1"/>
    <col min="5" max="5" width="44" style="29" customWidth="1"/>
    <col min="6" max="16384" width="8.6640625" style="29"/>
  </cols>
  <sheetData>
    <row r="2" spans="2:5" ht="27.75" customHeight="1" x14ac:dyDescent="0.35">
      <c r="B2" s="48" t="s">
        <v>53</v>
      </c>
      <c r="C2" s="48"/>
      <c r="D2" s="48"/>
      <c r="E2" s="48"/>
    </row>
    <row r="3" spans="2:5" ht="43.5" customHeight="1" x14ac:dyDescent="0.15">
      <c r="B3" s="49" t="s">
        <v>54</v>
      </c>
      <c r="C3" s="49"/>
      <c r="D3" s="49"/>
      <c r="E3" s="49"/>
    </row>
    <row r="4" spans="2:5" ht="3.75" customHeight="1" x14ac:dyDescent="0.15">
      <c r="B4" s="61"/>
      <c r="C4" s="61"/>
      <c r="D4" s="61"/>
      <c r="E4" s="61"/>
    </row>
    <row r="5" spans="2:5" x14ac:dyDescent="0.15">
      <c r="B5" s="28"/>
      <c r="C5" s="28"/>
      <c r="D5" s="28"/>
      <c r="E5" s="28"/>
    </row>
    <row r="6" spans="2:5" ht="19.5" customHeight="1" x14ac:dyDescent="0.15">
      <c r="B6" s="58" t="s">
        <v>55</v>
      </c>
      <c r="C6" s="58"/>
      <c r="D6" s="58"/>
      <c r="E6" s="59"/>
    </row>
    <row r="7" spans="2:5" ht="30" customHeight="1" x14ac:dyDescent="0.15">
      <c r="B7" s="7" t="s">
        <v>56</v>
      </c>
      <c r="C7" s="12">
        <f>'Sizing Model'!H62</f>
        <v>6200</v>
      </c>
      <c r="D7" s="28"/>
      <c r="E7" s="7" t="s">
        <v>57</v>
      </c>
    </row>
    <row r="8" spans="2:5" ht="30" customHeight="1" x14ac:dyDescent="0.15">
      <c r="B8" s="7" t="s">
        <v>58</v>
      </c>
      <c r="C8" s="12">
        <f>'Sizing Model'!J62</f>
        <v>14964.497474999995</v>
      </c>
      <c r="D8" s="28"/>
      <c r="E8" s="7" t="s">
        <v>59</v>
      </c>
    </row>
    <row r="9" spans="2:5" ht="44.25" customHeight="1" x14ac:dyDescent="0.15">
      <c r="B9" s="15" t="s">
        <v>60</v>
      </c>
      <c r="C9" s="13">
        <f>'Sizing Model'!K62</f>
        <v>10000</v>
      </c>
      <c r="D9" s="28"/>
      <c r="E9" s="7" t="s">
        <v>61</v>
      </c>
    </row>
    <row r="10" spans="2:5" ht="30" customHeight="1" x14ac:dyDescent="0.15">
      <c r="B10" s="15" t="s">
        <v>62</v>
      </c>
      <c r="C10" s="13">
        <f>'Sizing Model'!L62</f>
        <v>25000</v>
      </c>
      <c r="D10" s="28"/>
      <c r="E10" s="7" t="s">
        <v>63</v>
      </c>
    </row>
    <row r="11" spans="2:5" x14ac:dyDescent="0.15">
      <c r="B11" s="28"/>
      <c r="C11" s="28"/>
      <c r="D11" s="28"/>
      <c r="E11" s="28"/>
    </row>
    <row r="12" spans="2:5" ht="19.5" customHeight="1" x14ac:dyDescent="0.15">
      <c r="B12" s="58" t="s">
        <v>64</v>
      </c>
      <c r="C12" s="58"/>
      <c r="D12" s="58"/>
      <c r="E12" s="59"/>
    </row>
    <row r="13" spans="2:5" ht="30" customHeight="1" x14ac:dyDescent="0.15">
      <c r="B13" s="9" t="s">
        <v>65</v>
      </c>
      <c r="C13" s="12">
        <f>'Sizing Model'!F63*1.4</f>
        <v>34164.199999999997</v>
      </c>
      <c r="D13" s="28"/>
      <c r="E13" s="6" t="s">
        <v>66</v>
      </c>
    </row>
    <row r="14" spans="2:5" ht="30" customHeight="1" x14ac:dyDescent="0.15">
      <c r="B14" s="9" t="s">
        <v>67</v>
      </c>
      <c r="C14" s="12">
        <f>'Sizing Model'!F63</f>
        <v>24403</v>
      </c>
      <c r="D14" s="28"/>
      <c r="E14" s="6" t="s">
        <v>68</v>
      </c>
    </row>
    <row r="15" spans="2:5" x14ac:dyDescent="0.15">
      <c r="B15" s="28"/>
      <c r="C15" s="28"/>
      <c r="D15" s="28"/>
      <c r="E15" s="28"/>
    </row>
    <row r="16" spans="2:5" ht="19.5" customHeight="1" x14ac:dyDescent="0.15">
      <c r="B16" s="58" t="s">
        <v>69</v>
      </c>
      <c r="C16" s="58"/>
      <c r="D16" s="58"/>
      <c r="E16" s="59"/>
    </row>
    <row r="17" spans="2:5" ht="30" customHeight="1" x14ac:dyDescent="0.15">
      <c r="B17" s="9" t="s">
        <v>70</v>
      </c>
      <c r="C17" s="12">
        <f>SUM('Sizing Model'!K14:K61)</f>
        <v>32000</v>
      </c>
      <c r="D17" s="28"/>
      <c r="E17" s="6" t="s">
        <v>71</v>
      </c>
    </row>
    <row r="18" spans="2:5" ht="30" customHeight="1" x14ac:dyDescent="0.15">
      <c r="B18" s="9" t="s">
        <v>72</v>
      </c>
      <c r="C18" s="12">
        <f>SUM('Sizing Model'!L14:L61)</f>
        <v>71000</v>
      </c>
      <c r="D18" s="28"/>
      <c r="E18" s="6" t="s">
        <v>73</v>
      </c>
    </row>
    <row r="19" spans="2:5" ht="45" x14ac:dyDescent="0.15">
      <c r="B19" s="10" t="s">
        <v>113</v>
      </c>
      <c r="C19" s="13">
        <f>'Sizing Model'!M63</f>
        <v>244030</v>
      </c>
      <c r="D19" s="28"/>
      <c r="E19" s="7" t="s">
        <v>114</v>
      </c>
    </row>
    <row r="20" spans="2:5" x14ac:dyDescent="0.15">
      <c r="B20" s="28"/>
      <c r="C20" s="28"/>
      <c r="D20" s="28"/>
      <c r="E20" s="28"/>
    </row>
    <row r="21" spans="2:5" ht="19.5" customHeight="1" x14ac:dyDescent="0.15">
      <c r="B21" s="58"/>
      <c r="C21" s="58"/>
      <c r="D21" s="58"/>
      <c r="E21" s="59"/>
    </row>
    <row r="22" spans="2:5" ht="30" customHeight="1" x14ac:dyDescent="0.15">
      <c r="B22" s="6"/>
      <c r="C22" s="8"/>
      <c r="D22" s="28"/>
      <c r="E22" s="6"/>
    </row>
    <row r="23" spans="2:5" x14ac:dyDescent="0.15">
      <c r="B23" s="28"/>
      <c r="C23" s="28"/>
      <c r="D23" s="28"/>
      <c r="E23" s="28"/>
    </row>
    <row r="24" spans="2:5" ht="45.75" customHeight="1" x14ac:dyDescent="0.15">
      <c r="B24" s="60" t="s">
        <v>74</v>
      </c>
      <c r="C24" s="60"/>
      <c r="D24" s="60"/>
      <c r="E24" s="60"/>
    </row>
  </sheetData>
  <mergeCells count="8">
    <mergeCell ref="B21:E21"/>
    <mergeCell ref="B24:E24"/>
    <mergeCell ref="B2:E2"/>
    <mergeCell ref="B3:E3"/>
    <mergeCell ref="B6:E6"/>
    <mergeCell ref="B12:E12"/>
    <mergeCell ref="B16:E16"/>
    <mergeCell ref="B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25"/>
  <sheetViews>
    <sheetView showGridLines="0" topLeftCell="A6" zoomScale="110" zoomScaleNormal="110" workbookViewId="0">
      <selection activeCell="F15" sqref="F15"/>
    </sheetView>
  </sheetViews>
  <sheetFormatPr baseColWidth="10" defaultColWidth="8.6640625" defaultRowHeight="14" x14ac:dyDescent="0.2"/>
  <cols>
    <col min="1" max="1" width="2" style="27" customWidth="1"/>
    <col min="2" max="2" width="30" style="27" customWidth="1"/>
    <col min="3" max="3" width="12.83203125" style="27" customWidth="1"/>
    <col min="4" max="4" width="17.83203125" style="27" customWidth="1"/>
    <col min="5" max="5" width="18.83203125" style="27" customWidth="1"/>
    <col min="6" max="6" width="64.5" style="27" customWidth="1"/>
    <col min="7" max="16384" width="8.6640625" style="27"/>
  </cols>
  <sheetData>
    <row r="2" spans="2:6" ht="27.75" customHeight="1" x14ac:dyDescent="0.35">
      <c r="B2" s="62" t="s">
        <v>75</v>
      </c>
      <c r="C2" s="62"/>
      <c r="D2" s="62"/>
      <c r="E2" s="62"/>
      <c r="F2" s="62"/>
    </row>
    <row r="3" spans="2:6" ht="50" customHeight="1" x14ac:dyDescent="0.2">
      <c r="B3" s="49" t="s">
        <v>145</v>
      </c>
      <c r="C3" s="49"/>
      <c r="D3" s="49"/>
      <c r="E3" s="49"/>
      <c r="F3" s="49"/>
    </row>
    <row r="4" spans="2:6" ht="3.75" customHeight="1" x14ac:dyDescent="0.15">
      <c r="B4" s="30"/>
      <c r="C4" s="30"/>
      <c r="D4" s="30"/>
      <c r="E4" s="30"/>
      <c r="F4" s="30"/>
    </row>
    <row r="5" spans="2:6" x14ac:dyDescent="0.15">
      <c r="B5" s="28"/>
      <c r="C5" s="28"/>
      <c r="D5" s="28"/>
      <c r="E5" s="28"/>
      <c r="F5" s="28"/>
    </row>
    <row r="6" spans="2:6" ht="54" x14ac:dyDescent="0.2">
      <c r="B6" s="3" t="s">
        <v>76</v>
      </c>
      <c r="C6" s="3" t="s">
        <v>77</v>
      </c>
      <c r="D6" s="3" t="s">
        <v>78</v>
      </c>
      <c r="E6" s="3" t="s">
        <v>79</v>
      </c>
      <c r="F6" s="3" t="s">
        <v>80</v>
      </c>
    </row>
    <row r="7" spans="2:6" ht="60" x14ac:dyDescent="0.2">
      <c r="B7" s="2" t="s">
        <v>81</v>
      </c>
      <c r="C7" s="5">
        <f>'Sizing Model'!K62/1000</f>
        <v>10</v>
      </c>
      <c r="D7" s="5">
        <f>'Sizing Model'!L62/1000</f>
        <v>25</v>
      </c>
      <c r="E7" s="5" t="s">
        <v>115</v>
      </c>
      <c r="F7" s="1" t="s">
        <v>116</v>
      </c>
    </row>
    <row r="8" spans="2:6" ht="45" x14ac:dyDescent="0.2">
      <c r="B8" s="2" t="s">
        <v>82</v>
      </c>
      <c r="C8" s="5">
        <f>SUM('Sizing Model'!K14:K61)/1000</f>
        <v>32</v>
      </c>
      <c r="D8" s="5">
        <f>SUM('Sizing Model'!L14:L61)/1000</f>
        <v>71</v>
      </c>
      <c r="E8" s="5">
        <f>'Sizing Model'!M63/1000</f>
        <v>244.03</v>
      </c>
      <c r="F8" s="1" t="s">
        <v>117</v>
      </c>
    </row>
    <row r="9" spans="2:6" ht="58" customHeight="1" x14ac:dyDescent="0.15">
      <c r="B9" s="28"/>
      <c r="C9" s="28"/>
      <c r="D9" s="28"/>
      <c r="E9" s="28"/>
      <c r="F9" s="28"/>
    </row>
    <row r="10" spans="2:6" ht="19.5" customHeight="1" x14ac:dyDescent="0.2">
      <c r="B10" s="63" t="s">
        <v>118</v>
      </c>
      <c r="C10" s="63"/>
      <c r="D10" s="63"/>
      <c r="E10" s="63"/>
      <c r="F10" s="63"/>
    </row>
    <row r="11" spans="2:6" ht="48" customHeight="1" x14ac:dyDescent="0.2">
      <c r="B11" s="3" t="s">
        <v>119</v>
      </c>
      <c r="C11" s="3" t="s">
        <v>120</v>
      </c>
      <c r="D11" s="3" t="s">
        <v>121</v>
      </c>
      <c r="E11" s="65" t="s">
        <v>151</v>
      </c>
      <c r="F11" s="66"/>
    </row>
    <row r="12" spans="2:6" ht="22" customHeight="1" x14ac:dyDescent="0.2">
      <c r="B12" s="2" t="s">
        <v>122</v>
      </c>
      <c r="C12" s="5">
        <f>COUNTIF('Sizing Model'!K14:K61,1000)</f>
        <v>26</v>
      </c>
      <c r="D12" s="5">
        <f>COUNTIF('Sizing Model'!L14:L61,1000)</f>
        <v>0</v>
      </c>
      <c r="E12" s="18"/>
      <c r="F12" s="19"/>
    </row>
    <row r="13" spans="2:6" ht="22" customHeight="1" x14ac:dyDescent="0.2">
      <c r="B13" s="2" t="s">
        <v>123</v>
      </c>
      <c r="C13" s="5">
        <f>COUNTIF('Sizing Model'!K14:K61,2000)</f>
        <v>3</v>
      </c>
      <c r="D13" s="5">
        <f>COUNTIF('Sizing Model'!L14:L61,2000)</f>
        <v>22</v>
      </c>
      <c r="E13" s="16"/>
      <c r="F13" s="17"/>
    </row>
    <row r="14" spans="2:6" ht="22" customHeight="1" x14ac:dyDescent="0.2">
      <c r="B14" s="2" t="s">
        <v>124</v>
      </c>
      <c r="C14" s="5">
        <f>COUNTIF('Sizing Model'!K14:K61,3000)</f>
        <v>0</v>
      </c>
      <c r="D14" s="5">
        <f>COUNTIF('Sizing Model'!L14:L61,3000)</f>
        <v>4</v>
      </c>
      <c r="E14" s="16"/>
      <c r="F14" s="17"/>
    </row>
    <row r="15" spans="2:6" ht="22" customHeight="1" x14ac:dyDescent="0.2">
      <c r="B15" s="2" t="s">
        <v>125</v>
      </c>
      <c r="C15" s="5">
        <f>COUNTIF('Sizing Model'!K14:K61,4000)</f>
        <v>0</v>
      </c>
      <c r="D15" s="5">
        <f>COUNTIF('Sizing Model'!L14:L61,4000)</f>
        <v>0</v>
      </c>
      <c r="E15" s="16"/>
      <c r="F15" s="17"/>
    </row>
    <row r="16" spans="2:6" ht="22" customHeight="1" x14ac:dyDescent="0.2">
      <c r="B16" s="36" t="s">
        <v>126</v>
      </c>
      <c r="C16" s="43">
        <f>COUNTIF('Sizing Model'!K14:K61,5000)</f>
        <v>0</v>
      </c>
      <c r="D16" s="43">
        <f>COUNTIF('Sizing Model'!L14:L61,5000)</f>
        <v>3</v>
      </c>
      <c r="E16" s="37"/>
      <c r="F16" s="37"/>
    </row>
    <row r="17" spans="2:6" ht="22" customHeight="1" x14ac:dyDescent="0.2">
      <c r="B17" s="39" t="s">
        <v>127</v>
      </c>
      <c r="C17" s="44">
        <f>COUNTIF('Sizing Model'!K14:K61,6000)</f>
        <v>0</v>
      </c>
      <c r="D17" s="44">
        <f>COUNTIF('Sizing Model'!L14:L61,6000)</f>
        <v>0</v>
      </c>
      <c r="E17" s="39"/>
      <c r="F17" s="39"/>
    </row>
    <row r="18" spans="2:6" ht="22" customHeight="1" x14ac:dyDescent="0.2">
      <c r="B18" s="38" t="s">
        <v>128</v>
      </c>
      <c r="C18" s="45">
        <f>COUNTIF('Sizing Model'!K14:K61,7000)</f>
        <v>0</v>
      </c>
      <c r="D18" s="45">
        <f>COUNTIF('Sizing Model'!L14:L61,7000)</f>
        <v>0</v>
      </c>
      <c r="E18" s="38"/>
      <c r="F18" s="38"/>
    </row>
    <row r="19" spans="2:6" ht="22" customHeight="1" x14ac:dyDescent="0.2">
      <c r="B19" s="40" t="s">
        <v>129</v>
      </c>
      <c r="C19" s="46">
        <f>COUNTIF('Sizing Model'!K14:K61,8000)</f>
        <v>0</v>
      </c>
      <c r="D19" s="46">
        <f>COUNTIF('Sizing Model'!L14:L61,8000)</f>
        <v>0</v>
      </c>
      <c r="E19" s="39"/>
      <c r="F19" s="39"/>
    </row>
    <row r="20" spans="2:6" ht="22" customHeight="1" x14ac:dyDescent="0.2">
      <c r="B20" s="40" t="s">
        <v>130</v>
      </c>
      <c r="C20" s="46">
        <f>COUNTIF('Sizing Model'!K14:K61,9000)</f>
        <v>0</v>
      </c>
      <c r="D20" s="46">
        <f>COUNTIF('Sizing Model'!L14:L61,9000)</f>
        <v>0</v>
      </c>
      <c r="E20" s="39"/>
      <c r="F20" s="39"/>
    </row>
    <row r="21" spans="2:6" ht="21.75" customHeight="1" x14ac:dyDescent="0.2">
      <c r="B21" s="41" t="s">
        <v>131</v>
      </c>
      <c r="C21" s="47">
        <f>COUNTIF('Sizing Model'!K14:K61,10000)</f>
        <v>0</v>
      </c>
      <c r="D21" s="47">
        <f>COUNTIF('Sizing Model'!L14:L61,10000)</f>
        <v>0</v>
      </c>
      <c r="E21" s="42"/>
      <c r="F21" s="42"/>
    </row>
    <row r="22" spans="2:6" x14ac:dyDescent="0.15">
      <c r="B22" s="29"/>
      <c r="C22" s="31"/>
      <c r="D22" s="31"/>
      <c r="E22" s="28"/>
      <c r="F22" s="28"/>
    </row>
    <row r="23" spans="2:6" ht="30" customHeight="1" x14ac:dyDescent="0.2">
      <c r="B23" s="64" t="s">
        <v>152</v>
      </c>
      <c r="C23" s="64"/>
      <c r="D23" s="64"/>
      <c r="E23" s="64"/>
      <c r="F23" s="64"/>
    </row>
    <row r="24" spans="2:6" ht="30" customHeight="1" x14ac:dyDescent="0.2">
      <c r="B24" s="64"/>
      <c r="C24" s="64"/>
      <c r="D24" s="64"/>
      <c r="E24" s="64"/>
      <c r="F24" s="64"/>
    </row>
    <row r="25" spans="2:6" ht="30" customHeight="1" x14ac:dyDescent="0.2">
      <c r="B25" s="64"/>
      <c r="C25" s="64"/>
      <c r="D25" s="64"/>
      <c r="E25" s="64"/>
      <c r="F25" s="64"/>
    </row>
  </sheetData>
  <mergeCells count="5">
    <mergeCell ref="B2:F2"/>
    <mergeCell ref="B3:F3"/>
    <mergeCell ref="B10:F10"/>
    <mergeCell ref="B23:F25"/>
    <mergeCell ref="E11:F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15"/>
  <sheetViews>
    <sheetView showGridLines="0" workbookViewId="0">
      <selection activeCell="B2" sqref="B2:D2"/>
    </sheetView>
  </sheetViews>
  <sheetFormatPr baseColWidth="10" defaultColWidth="8.6640625" defaultRowHeight="14" x14ac:dyDescent="0.2"/>
  <cols>
    <col min="1" max="1" width="2" style="27" customWidth="1"/>
    <col min="2" max="2" width="43" style="27" customWidth="1"/>
    <col min="3" max="3" width="40" style="27" customWidth="1"/>
    <col min="4" max="4" width="50.33203125" style="27" customWidth="1"/>
    <col min="5" max="16384" width="8.6640625" style="27"/>
  </cols>
  <sheetData>
    <row r="2" spans="2:4" ht="27.75" customHeight="1" x14ac:dyDescent="0.35">
      <c r="B2" s="48" t="s">
        <v>83</v>
      </c>
      <c r="C2" s="48"/>
      <c r="D2" s="48"/>
    </row>
    <row r="3" spans="2:4" ht="3.75" customHeight="1" x14ac:dyDescent="0.15">
      <c r="B3" s="61"/>
      <c r="C3" s="61"/>
      <c r="D3" s="61"/>
    </row>
    <row r="4" spans="2:4" x14ac:dyDescent="0.15">
      <c r="B4" s="28"/>
      <c r="C4" s="28"/>
      <c r="D4" s="28"/>
    </row>
    <row r="5" spans="2:4" ht="24" customHeight="1" x14ac:dyDescent="0.2">
      <c r="B5" s="3" t="s">
        <v>84</v>
      </c>
      <c r="C5" s="14" t="s">
        <v>85</v>
      </c>
      <c r="D5" s="3" t="s">
        <v>86</v>
      </c>
    </row>
    <row r="6" spans="2:4" ht="42" customHeight="1" x14ac:dyDescent="0.2">
      <c r="B6" s="4" t="s">
        <v>132</v>
      </c>
      <c r="C6" s="11" t="s">
        <v>133</v>
      </c>
      <c r="D6" s="11" t="s">
        <v>89</v>
      </c>
    </row>
    <row r="7" spans="2:4" ht="30" x14ac:dyDescent="0.2">
      <c r="B7" s="4" t="s">
        <v>134</v>
      </c>
      <c r="C7" s="11" t="s">
        <v>135</v>
      </c>
      <c r="D7" s="11" t="s">
        <v>92</v>
      </c>
    </row>
    <row r="8" spans="2:4" ht="45" x14ac:dyDescent="0.2">
      <c r="B8" s="4" t="s">
        <v>87</v>
      </c>
      <c r="C8" s="11" t="s">
        <v>88</v>
      </c>
      <c r="D8" s="11" t="s">
        <v>89</v>
      </c>
    </row>
    <row r="9" spans="2:4" ht="42" customHeight="1" x14ac:dyDescent="0.2">
      <c r="B9" s="4" t="s">
        <v>90</v>
      </c>
      <c r="C9" s="11" t="s">
        <v>91</v>
      </c>
      <c r="D9" s="11" t="s">
        <v>92</v>
      </c>
    </row>
    <row r="10" spans="2:4" ht="42" customHeight="1" x14ac:dyDescent="0.2">
      <c r="B10" s="4" t="s">
        <v>93</v>
      </c>
      <c r="C10" s="11" t="s">
        <v>94</v>
      </c>
      <c r="D10" s="11" t="s">
        <v>95</v>
      </c>
    </row>
    <row r="11" spans="2:4" ht="42" customHeight="1" x14ac:dyDescent="0.2">
      <c r="B11" s="4" t="s">
        <v>96</v>
      </c>
      <c r="C11" s="11" t="s">
        <v>97</v>
      </c>
      <c r="D11" s="11" t="s">
        <v>98</v>
      </c>
    </row>
    <row r="12" spans="2:4" ht="42" customHeight="1" x14ac:dyDescent="0.2">
      <c r="B12" s="4" t="s">
        <v>99</v>
      </c>
      <c r="C12" s="11" t="s">
        <v>100</v>
      </c>
      <c r="D12" s="11" t="s">
        <v>101</v>
      </c>
    </row>
    <row r="13" spans="2:4" ht="42" customHeight="1" x14ac:dyDescent="0.2">
      <c r="B13" s="60" t="s">
        <v>136</v>
      </c>
      <c r="C13" s="60" t="s">
        <v>137</v>
      </c>
      <c r="D13" s="60" t="s">
        <v>138</v>
      </c>
    </row>
    <row r="14" spans="2:4" x14ac:dyDescent="0.15">
      <c r="B14" s="29" t="s">
        <v>139</v>
      </c>
      <c r="C14" s="29" t="s">
        <v>140</v>
      </c>
      <c r="D14" s="29" t="s">
        <v>141</v>
      </c>
    </row>
    <row r="15" spans="2:4" x14ac:dyDescent="0.15">
      <c r="B15" s="29" t="s">
        <v>142</v>
      </c>
      <c r="C15" s="29" t="s">
        <v>143</v>
      </c>
      <c r="D15" s="29" t="s">
        <v>144</v>
      </c>
    </row>
  </sheetData>
  <mergeCells count="3">
    <mergeCell ref="B2:D2"/>
    <mergeCell ref="B3:D3"/>
    <mergeCell ref="B13:D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439cbb-5370-497c-b9f0-31006953b42e">
      <Terms xmlns="http://schemas.microsoft.com/office/infopath/2007/PartnerControls"/>
    </lcf76f155ced4ddcb4097134ff3c332f>
    <TaxCatchAll xmlns="03f36a15-567d-4acf-a2de-0af942a20fe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9D4E471EEA8C4A88F94D3BE2B969E7" ma:contentTypeVersion="19" ma:contentTypeDescription="Create a new document." ma:contentTypeScope="" ma:versionID="16c599b8c8832e292a044a676347093a">
  <xsd:schema xmlns:xsd="http://www.w3.org/2001/XMLSchema" xmlns:xs="http://www.w3.org/2001/XMLSchema" xmlns:p="http://schemas.microsoft.com/office/2006/metadata/properties" xmlns:ns2="1d439cbb-5370-497c-b9f0-31006953b42e" xmlns:ns3="03f36a15-567d-4acf-a2de-0af942a20fe1" targetNamespace="http://schemas.microsoft.com/office/2006/metadata/properties" ma:root="true" ma:fieldsID="7f7a179f20dfd179238bdddcac46d1e7" ns2:_="" ns3:_="">
    <xsd:import namespace="1d439cbb-5370-497c-b9f0-31006953b42e"/>
    <xsd:import namespace="03f36a15-567d-4acf-a2de-0af942a20fe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39cbb-5370-497c-b9f0-31006953b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c33674e-5588-4872-85a0-7795739671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f36a15-567d-4acf-a2de-0af942a20fe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90ba145-7298-4a36-9d57-5c5c49a0c8e1}" ma:internalName="TaxCatchAll" ma:showField="CatchAllData" ma:web="03f36a15-567d-4acf-a2de-0af942a20f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DC50AD-6DDE-4899-A896-9D4ADED5C7B5}">
  <ds:schemaRefs>
    <ds:schemaRef ds:uri="http://www.w3.org/XML/1998/namespace"/>
    <ds:schemaRef ds:uri="http://schemas.microsoft.com/office/2006/documentManagement/types"/>
    <ds:schemaRef ds:uri="http://purl.org/dc/dcmitype/"/>
    <ds:schemaRef ds:uri="http://purl.org/dc/terms/"/>
    <ds:schemaRef ds:uri="03f36a15-567d-4acf-a2de-0af942a20fe1"/>
    <ds:schemaRef ds:uri="http://schemas.microsoft.com/office/infopath/2007/PartnerControls"/>
    <ds:schemaRef ds:uri="http://schemas.openxmlformats.org/package/2006/metadata/core-properties"/>
    <ds:schemaRef ds:uri="1d439cbb-5370-497c-b9f0-31006953b42e"/>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61E3B8B-39A5-46D4-8752-9BC6B8C08525}">
  <ds:schemaRefs>
    <ds:schemaRef ds:uri="http://schemas.microsoft.com/sharepoint/v3/contenttype/forms"/>
  </ds:schemaRefs>
</ds:datastoreItem>
</file>

<file path=customXml/itemProps3.xml><?xml version="1.0" encoding="utf-8"?>
<ds:datastoreItem xmlns:ds="http://schemas.openxmlformats.org/officeDocument/2006/customXml" ds:itemID="{21BCCBC8-60AF-4F99-9CC2-CCDE3939DE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39cbb-5370-497c-b9f0-31006953b42e"/>
    <ds:schemaRef ds:uri="03f36a15-567d-4acf-a2de-0af942a20f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535dc0-73fc-41ea-a174-17f37ced7fe7}" enabled="0" method="" siteId="{cf535dc0-73fc-41ea-a174-17f37ced7fe7}"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Sizing Model</vt:lpstr>
      <vt:lpstr>Benchmarks</vt:lpstr>
      <vt:lpstr>Planning Outputs</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Gia Thiel</cp:lastModifiedBy>
  <dcterms:created xsi:type="dcterms:W3CDTF">2026-09-23T14:08:06Z</dcterms:created>
  <dcterms:modified xsi:type="dcterms:W3CDTF">2026-09-23T14:08:48Z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0x0101006E9D4E471EEA8C4A88F94D3BE2B969E7</vt:lpwstr>
  </property>
</Properties>
</file>